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craigduncan/Desktop/"/>
    </mc:Choice>
  </mc:AlternateContent>
  <xr:revisionPtr revIDLastSave="0" documentId="8_{0E5A96BE-D8B1-C340-B730-35AA7A999462}" xr6:coauthVersionLast="47" xr6:coauthVersionMax="47" xr10:uidLastSave="{00000000-0000-0000-0000-000000000000}"/>
  <bookViews>
    <workbookView xWindow="0" yWindow="660" windowWidth="29400" windowHeight="17120" xr2:uid="{00000000-000D-0000-FFFF-FFFF00000000}"/>
  </bookViews>
  <sheets>
    <sheet name="01 Start Here" sheetId="1" r:id="rId1"/>
    <sheet name="02 Hospice Setup" sheetId="2" r:id="rId2"/>
    <sheet name="03 Catering Adjustment" sheetId="3" r:id="rId3"/>
    <sheet name="04 Service Costs" sheetId="4" r:id="rId4"/>
    <sheet name="05 Support &amp; Income" sheetId="5" r:id="rId5"/>
    <sheet name="06 Shared Cost Pools" sheetId="7" r:id="rId6"/>
    <sheet name="07 Support Drivers" sheetId="6" r:id="rId7"/>
    <sheet name="08 Allocation Data" sheetId="8" r:id="rId8"/>
    <sheet name="09 Core Activity &amp; Capacity" sheetId="9" r:id="rId9"/>
    <sheet name="10 Optional IPU Care Type" sheetId="10" r:id="rId10"/>
    <sheet name="11 Optional Community" sheetId="11" r:id="rId11"/>
    <sheet name="12 Checks &amp; Completion" sheetId="12" r:id="rId12"/>
    <sheet name="13 Results Dashboard" sheetId="13" r:id="rId13"/>
    <sheet name="14 Detailed Results" sheetId="15" r:id="rId14"/>
    <sheet name="15 Enhanced Analysis" sheetId="14" r:id="rId15"/>
    <sheet name="16 Calculations" sheetId="16" state="hidden" r:id="rId16"/>
    <sheet name="17 Code Lists" sheetId="17" state="hidden" r:id="rId17"/>
    <sheet name="18 Standard Export" sheetId="18" state="hidden" r:id="rId18"/>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45" i="18" l="1"/>
  <c r="D345" i="18"/>
  <c r="C345" i="18"/>
  <c r="B345" i="18"/>
  <c r="A345" i="18"/>
  <c r="T344" i="18"/>
  <c r="D344" i="18"/>
  <c r="C344" i="18"/>
  <c r="B344" i="18"/>
  <c r="A344" i="18"/>
  <c r="T343" i="18"/>
  <c r="D343" i="18"/>
  <c r="C343" i="18"/>
  <c r="B343" i="18"/>
  <c r="A343" i="18"/>
  <c r="T342" i="18"/>
  <c r="D342" i="18"/>
  <c r="C342" i="18"/>
  <c r="B342" i="18"/>
  <c r="A342" i="18"/>
  <c r="T341" i="18"/>
  <c r="D341" i="18"/>
  <c r="C341" i="18"/>
  <c r="B341" i="18"/>
  <c r="A341" i="18"/>
  <c r="T340" i="18"/>
  <c r="D340" i="18"/>
  <c r="C340" i="18"/>
  <c r="B340" i="18"/>
  <c r="A340" i="18"/>
  <c r="T339" i="18"/>
  <c r="D339" i="18"/>
  <c r="C339" i="18"/>
  <c r="B339" i="18"/>
  <c r="A339" i="18"/>
  <c r="T338" i="18"/>
  <c r="D338" i="18"/>
  <c r="C338" i="18"/>
  <c r="B338" i="18"/>
  <c r="A338" i="18"/>
  <c r="T337" i="18"/>
  <c r="D337" i="18"/>
  <c r="C337" i="18"/>
  <c r="B337" i="18"/>
  <c r="A337" i="18"/>
  <c r="T336" i="18"/>
  <c r="D336" i="18"/>
  <c r="C336" i="18"/>
  <c r="B336" i="18"/>
  <c r="A336" i="18"/>
  <c r="T335" i="18"/>
  <c r="D335" i="18"/>
  <c r="C335" i="18"/>
  <c r="B335" i="18"/>
  <c r="A335" i="18"/>
  <c r="T334" i="18"/>
  <c r="D334" i="18"/>
  <c r="C334" i="18"/>
  <c r="B334" i="18"/>
  <c r="A334" i="18"/>
  <c r="T333" i="18"/>
  <c r="I333" i="18"/>
  <c r="D333" i="18"/>
  <c r="C333" i="18"/>
  <c r="B333" i="18"/>
  <c r="A333" i="18"/>
  <c r="T332" i="18"/>
  <c r="D332" i="18"/>
  <c r="C332" i="18"/>
  <c r="B332" i="18"/>
  <c r="A332" i="18"/>
  <c r="T331" i="18"/>
  <c r="D331" i="18"/>
  <c r="C331" i="18"/>
  <c r="B331" i="18"/>
  <c r="A331" i="18"/>
  <c r="T330" i="18"/>
  <c r="D330" i="18"/>
  <c r="C330" i="18"/>
  <c r="B330" i="18"/>
  <c r="A330" i="18"/>
  <c r="T329" i="18"/>
  <c r="D329" i="18"/>
  <c r="C329" i="18"/>
  <c r="B329" i="18"/>
  <c r="A329" i="18"/>
  <c r="T328" i="18"/>
  <c r="D328" i="18"/>
  <c r="C328" i="18"/>
  <c r="B328" i="18"/>
  <c r="A328" i="18"/>
  <c r="T327" i="18"/>
  <c r="D327" i="18"/>
  <c r="C327" i="18"/>
  <c r="B327" i="18"/>
  <c r="A327" i="18"/>
  <c r="T326" i="18"/>
  <c r="D326" i="18"/>
  <c r="C326" i="18"/>
  <c r="B326" i="18"/>
  <c r="A326" i="18"/>
  <c r="T325" i="18"/>
  <c r="D325" i="18"/>
  <c r="C325" i="18"/>
  <c r="B325" i="18"/>
  <c r="A325" i="18"/>
  <c r="T324" i="18"/>
  <c r="D324" i="18"/>
  <c r="C324" i="18"/>
  <c r="B324" i="18"/>
  <c r="A324" i="18"/>
  <c r="T323" i="18"/>
  <c r="D323" i="18"/>
  <c r="C323" i="18"/>
  <c r="B323" i="18"/>
  <c r="A323" i="18"/>
  <c r="T322" i="18"/>
  <c r="I322" i="18"/>
  <c r="D322" i="18"/>
  <c r="C322" i="18"/>
  <c r="B322" i="18"/>
  <c r="A322" i="18"/>
  <c r="T321" i="18"/>
  <c r="D321" i="18"/>
  <c r="C321" i="18"/>
  <c r="B321" i="18"/>
  <c r="A321" i="18"/>
  <c r="T320" i="18"/>
  <c r="D320" i="18"/>
  <c r="C320" i="18"/>
  <c r="B320" i="18"/>
  <c r="A320" i="18"/>
  <c r="T319" i="18"/>
  <c r="D319" i="18"/>
  <c r="C319" i="18"/>
  <c r="B319" i="18"/>
  <c r="A319" i="18"/>
  <c r="T318" i="18"/>
  <c r="D318" i="18"/>
  <c r="C318" i="18"/>
  <c r="B318" i="18"/>
  <c r="A318" i="18"/>
  <c r="T317" i="18"/>
  <c r="D317" i="18"/>
  <c r="C317" i="18"/>
  <c r="B317" i="18"/>
  <c r="A317" i="18"/>
  <c r="T316" i="18"/>
  <c r="D316" i="18"/>
  <c r="C316" i="18"/>
  <c r="B316" i="18"/>
  <c r="A316" i="18"/>
  <c r="T315" i="18"/>
  <c r="D315" i="18"/>
  <c r="C315" i="18"/>
  <c r="B315" i="18"/>
  <c r="A315" i="18"/>
  <c r="T314" i="18"/>
  <c r="D314" i="18"/>
  <c r="C314" i="18"/>
  <c r="B314" i="18"/>
  <c r="A314" i="18"/>
  <c r="T313" i="18"/>
  <c r="D313" i="18"/>
  <c r="C313" i="18"/>
  <c r="B313" i="18"/>
  <c r="A313" i="18"/>
  <c r="T312" i="18"/>
  <c r="D312" i="18"/>
  <c r="C312" i="18"/>
  <c r="B312" i="18"/>
  <c r="A312" i="18"/>
  <c r="T311" i="18"/>
  <c r="I311" i="18"/>
  <c r="D311" i="18"/>
  <c r="C311" i="18"/>
  <c r="B311" i="18"/>
  <c r="A311" i="18"/>
  <c r="T310" i="18"/>
  <c r="D310" i="18"/>
  <c r="C310" i="18"/>
  <c r="B310" i="18"/>
  <c r="A310" i="18"/>
  <c r="T309" i="18"/>
  <c r="D309" i="18"/>
  <c r="C309" i="18"/>
  <c r="B309" i="18"/>
  <c r="A309" i="18"/>
  <c r="T308" i="18"/>
  <c r="D308" i="18"/>
  <c r="C308" i="18"/>
  <c r="B308" i="18"/>
  <c r="A308" i="18"/>
  <c r="T307" i="18"/>
  <c r="D307" i="18"/>
  <c r="C307" i="18"/>
  <c r="B307" i="18"/>
  <c r="A307" i="18"/>
  <c r="T306" i="18"/>
  <c r="D306" i="18"/>
  <c r="C306" i="18"/>
  <c r="B306" i="18"/>
  <c r="A306" i="18"/>
  <c r="T305" i="18"/>
  <c r="D305" i="18"/>
  <c r="C305" i="18"/>
  <c r="B305" i="18"/>
  <c r="A305" i="18"/>
  <c r="T304" i="18"/>
  <c r="D304" i="18"/>
  <c r="C304" i="18"/>
  <c r="B304" i="18"/>
  <c r="A304" i="18"/>
  <c r="T303" i="18"/>
  <c r="D303" i="18"/>
  <c r="C303" i="18"/>
  <c r="B303" i="18"/>
  <c r="A303" i="18"/>
  <c r="T302" i="18"/>
  <c r="D302" i="18"/>
  <c r="C302" i="18"/>
  <c r="B302" i="18"/>
  <c r="A302" i="18"/>
  <c r="T301" i="18"/>
  <c r="D301" i="18"/>
  <c r="C301" i="18"/>
  <c r="B301" i="18"/>
  <c r="A301" i="18"/>
  <c r="T300" i="18"/>
  <c r="I300" i="18"/>
  <c r="D300" i="18"/>
  <c r="C300" i="18"/>
  <c r="B300" i="18"/>
  <c r="A300" i="18"/>
  <c r="T299" i="18"/>
  <c r="D299" i="18"/>
  <c r="C299" i="18"/>
  <c r="B299" i="18"/>
  <c r="A299" i="18"/>
  <c r="T298" i="18"/>
  <c r="D298" i="18"/>
  <c r="C298" i="18"/>
  <c r="B298" i="18"/>
  <c r="A298" i="18"/>
  <c r="T297" i="18"/>
  <c r="D297" i="18"/>
  <c r="C297" i="18"/>
  <c r="B297" i="18"/>
  <c r="A297" i="18"/>
  <c r="T296" i="18"/>
  <c r="D296" i="18"/>
  <c r="C296" i="18"/>
  <c r="B296" i="18"/>
  <c r="A296" i="18"/>
  <c r="T295" i="18"/>
  <c r="D295" i="18"/>
  <c r="C295" i="18"/>
  <c r="B295" i="18"/>
  <c r="A295" i="18"/>
  <c r="T294" i="18"/>
  <c r="D294" i="18"/>
  <c r="C294" i="18"/>
  <c r="B294" i="18"/>
  <c r="A294" i="18"/>
  <c r="T293" i="18"/>
  <c r="D293" i="18"/>
  <c r="C293" i="18"/>
  <c r="B293" i="18"/>
  <c r="A293" i="18"/>
  <c r="T292" i="18"/>
  <c r="D292" i="18"/>
  <c r="C292" i="18"/>
  <c r="B292" i="18"/>
  <c r="A292" i="18"/>
  <c r="T291" i="18"/>
  <c r="D291" i="18"/>
  <c r="C291" i="18"/>
  <c r="B291" i="18"/>
  <c r="A291" i="18"/>
  <c r="T290" i="18"/>
  <c r="D290" i="18"/>
  <c r="C290" i="18"/>
  <c r="B290" i="18"/>
  <c r="A290" i="18"/>
  <c r="T289" i="18"/>
  <c r="I289" i="18"/>
  <c r="D289" i="18"/>
  <c r="C289" i="18"/>
  <c r="B289" i="18"/>
  <c r="A289" i="18"/>
  <c r="T288" i="18"/>
  <c r="D288" i="18"/>
  <c r="C288" i="18"/>
  <c r="B288" i="18"/>
  <c r="A288" i="18"/>
  <c r="T287" i="18"/>
  <c r="D287" i="18"/>
  <c r="C287" i="18"/>
  <c r="B287" i="18"/>
  <c r="A287" i="18"/>
  <c r="T286" i="18"/>
  <c r="D286" i="18"/>
  <c r="C286" i="18"/>
  <c r="B286" i="18"/>
  <c r="A286" i="18"/>
  <c r="T285" i="18"/>
  <c r="D285" i="18"/>
  <c r="C285" i="18"/>
  <c r="B285" i="18"/>
  <c r="A285" i="18"/>
  <c r="T284" i="18"/>
  <c r="D284" i="18"/>
  <c r="C284" i="18"/>
  <c r="B284" i="18"/>
  <c r="A284" i="18"/>
  <c r="T283" i="18"/>
  <c r="D283" i="18"/>
  <c r="C283" i="18"/>
  <c r="B283" i="18"/>
  <c r="A283" i="18"/>
  <c r="T282" i="18"/>
  <c r="D282" i="18"/>
  <c r="C282" i="18"/>
  <c r="B282" i="18"/>
  <c r="A282" i="18"/>
  <c r="T281" i="18"/>
  <c r="D281" i="18"/>
  <c r="C281" i="18"/>
  <c r="B281" i="18"/>
  <c r="A281" i="18"/>
  <c r="T280" i="18"/>
  <c r="D280" i="18"/>
  <c r="C280" i="18"/>
  <c r="B280" i="18"/>
  <c r="A280" i="18"/>
  <c r="T279" i="18"/>
  <c r="D279" i="18"/>
  <c r="C279" i="18"/>
  <c r="B279" i="18"/>
  <c r="A279" i="18"/>
  <c r="T278" i="18"/>
  <c r="I278" i="18"/>
  <c r="D278" i="18"/>
  <c r="C278" i="18"/>
  <c r="B278" i="18"/>
  <c r="A278" i="18"/>
  <c r="T277" i="18"/>
  <c r="D277" i="18"/>
  <c r="C277" i="18"/>
  <c r="B277" i="18"/>
  <c r="A277" i="18"/>
  <c r="T276" i="18"/>
  <c r="D276" i="18"/>
  <c r="C276" i="18"/>
  <c r="B276" i="18"/>
  <c r="A276" i="18"/>
  <c r="T275" i="18"/>
  <c r="D275" i="18"/>
  <c r="C275" i="18"/>
  <c r="B275" i="18"/>
  <c r="A275" i="18"/>
  <c r="T274" i="18"/>
  <c r="D274" i="18"/>
  <c r="C274" i="18"/>
  <c r="B274" i="18"/>
  <c r="A274" i="18"/>
  <c r="T273" i="18"/>
  <c r="D273" i="18"/>
  <c r="C273" i="18"/>
  <c r="B273" i="18"/>
  <c r="A273" i="18"/>
  <c r="T272" i="18"/>
  <c r="D272" i="18"/>
  <c r="C272" i="18"/>
  <c r="B272" i="18"/>
  <c r="A272" i="18"/>
  <c r="T271" i="18"/>
  <c r="D271" i="18"/>
  <c r="C271" i="18"/>
  <c r="B271" i="18"/>
  <c r="A271" i="18"/>
  <c r="T270" i="18"/>
  <c r="D270" i="18"/>
  <c r="C270" i="18"/>
  <c r="B270" i="18"/>
  <c r="A270" i="18"/>
  <c r="T269" i="18"/>
  <c r="D269" i="18"/>
  <c r="C269" i="18"/>
  <c r="B269" i="18"/>
  <c r="A269" i="18"/>
  <c r="T268" i="18"/>
  <c r="D268" i="18"/>
  <c r="C268" i="18"/>
  <c r="B268" i="18"/>
  <c r="A268" i="18"/>
  <c r="T267" i="18"/>
  <c r="D267" i="18"/>
  <c r="C267" i="18"/>
  <c r="B267" i="18"/>
  <c r="A267" i="18"/>
  <c r="T266" i="18"/>
  <c r="D266" i="18"/>
  <c r="C266" i="18"/>
  <c r="B266" i="18"/>
  <c r="A266" i="18"/>
  <c r="T265" i="18"/>
  <c r="D265" i="18"/>
  <c r="C265" i="18"/>
  <c r="B265" i="18"/>
  <c r="A265" i="18"/>
  <c r="T264" i="18"/>
  <c r="D264" i="18"/>
  <c r="C264" i="18"/>
  <c r="B264" i="18"/>
  <c r="A264" i="18"/>
  <c r="T263" i="18"/>
  <c r="D263" i="18"/>
  <c r="C263" i="18"/>
  <c r="B263" i="18"/>
  <c r="A263" i="18"/>
  <c r="T262" i="18"/>
  <c r="D262" i="18"/>
  <c r="C262" i="18"/>
  <c r="B262" i="18"/>
  <c r="A262" i="18"/>
  <c r="T261" i="18"/>
  <c r="D261" i="18"/>
  <c r="C261" i="18"/>
  <c r="B261" i="18"/>
  <c r="A261" i="18"/>
  <c r="T260" i="18"/>
  <c r="D260" i="18"/>
  <c r="C260" i="18"/>
  <c r="B260" i="18"/>
  <c r="A260" i="18"/>
  <c r="T259" i="18"/>
  <c r="D259" i="18"/>
  <c r="C259" i="18"/>
  <c r="B259" i="18"/>
  <c r="A259" i="18"/>
  <c r="T258" i="18"/>
  <c r="D258" i="18"/>
  <c r="C258" i="18"/>
  <c r="B258" i="18"/>
  <c r="A258" i="18"/>
  <c r="T257" i="18"/>
  <c r="D257" i="18"/>
  <c r="C257" i="18"/>
  <c r="B257" i="18"/>
  <c r="A257" i="18"/>
  <c r="T256" i="18"/>
  <c r="D256" i="18"/>
  <c r="C256" i="18"/>
  <c r="B256" i="18"/>
  <c r="A256" i="18"/>
  <c r="T255" i="18"/>
  <c r="D255" i="18"/>
  <c r="C255" i="18"/>
  <c r="B255" i="18"/>
  <c r="A255" i="18"/>
  <c r="T254" i="18"/>
  <c r="D254" i="18"/>
  <c r="C254" i="18"/>
  <c r="B254" i="18"/>
  <c r="A254" i="18"/>
  <c r="T253" i="18"/>
  <c r="D253" i="18"/>
  <c r="C253" i="18"/>
  <c r="B253" i="18"/>
  <c r="A253" i="18"/>
  <c r="T252" i="18"/>
  <c r="D252" i="18"/>
  <c r="C252" i="18"/>
  <c r="B252" i="18"/>
  <c r="A252" i="18"/>
  <c r="T251" i="18"/>
  <c r="D251" i="18"/>
  <c r="C251" i="18"/>
  <c r="B251" i="18"/>
  <c r="A251" i="18"/>
  <c r="T250" i="18"/>
  <c r="D250" i="18"/>
  <c r="C250" i="18"/>
  <c r="B250" i="18"/>
  <c r="A250" i="18"/>
  <c r="T249" i="18"/>
  <c r="D249" i="18"/>
  <c r="C249" i="18"/>
  <c r="B249" i="18"/>
  <c r="A249" i="18"/>
  <c r="T248" i="18"/>
  <c r="D248" i="18"/>
  <c r="C248" i="18"/>
  <c r="B248" i="18"/>
  <c r="A248" i="18"/>
  <c r="T247" i="18"/>
  <c r="D247" i="18"/>
  <c r="C247" i="18"/>
  <c r="B247" i="18"/>
  <c r="A247" i="18"/>
  <c r="T246" i="18"/>
  <c r="D246" i="18"/>
  <c r="C246" i="18"/>
  <c r="B246" i="18"/>
  <c r="A246" i="18"/>
  <c r="T245" i="18"/>
  <c r="D245" i="18"/>
  <c r="C245" i="18"/>
  <c r="B245" i="18"/>
  <c r="A245" i="18"/>
  <c r="T244" i="18"/>
  <c r="D244" i="18"/>
  <c r="C244" i="18"/>
  <c r="B244" i="18"/>
  <c r="A244" i="18"/>
  <c r="T243" i="18"/>
  <c r="D243" i="18"/>
  <c r="C243" i="18"/>
  <c r="B243" i="18"/>
  <c r="A243" i="18"/>
  <c r="T242" i="18"/>
  <c r="D242" i="18"/>
  <c r="C242" i="18"/>
  <c r="B242" i="18"/>
  <c r="A242" i="18"/>
  <c r="T241" i="18"/>
  <c r="D241" i="18"/>
  <c r="C241" i="18"/>
  <c r="B241" i="18"/>
  <c r="A241" i="18"/>
  <c r="T240" i="18"/>
  <c r="D240" i="18"/>
  <c r="C240" i="18"/>
  <c r="B240" i="18"/>
  <c r="A240" i="18"/>
  <c r="T239" i="18"/>
  <c r="D239" i="18"/>
  <c r="C239" i="18"/>
  <c r="B239" i="18"/>
  <c r="A239" i="18"/>
  <c r="T238" i="18"/>
  <c r="D238" i="18"/>
  <c r="C238" i="18"/>
  <c r="B238" i="18"/>
  <c r="A238" i="18"/>
  <c r="T237" i="18"/>
  <c r="D237" i="18"/>
  <c r="C237" i="18"/>
  <c r="B237" i="18"/>
  <c r="A237" i="18"/>
  <c r="T236" i="18"/>
  <c r="D236" i="18"/>
  <c r="C236" i="18"/>
  <c r="B236" i="18"/>
  <c r="A236" i="18"/>
  <c r="T235" i="18"/>
  <c r="D235" i="18"/>
  <c r="C235" i="18"/>
  <c r="B235" i="18"/>
  <c r="A235" i="18"/>
  <c r="T234" i="18"/>
  <c r="D234" i="18"/>
  <c r="C234" i="18"/>
  <c r="B234" i="18"/>
  <c r="A234" i="18"/>
  <c r="T233" i="18"/>
  <c r="D233" i="18"/>
  <c r="C233" i="18"/>
  <c r="B233" i="18"/>
  <c r="A233" i="18"/>
  <c r="T232" i="18"/>
  <c r="D232" i="18"/>
  <c r="C232" i="18"/>
  <c r="B232" i="18"/>
  <c r="A232" i="18"/>
  <c r="T231" i="18"/>
  <c r="D231" i="18"/>
  <c r="C231" i="18"/>
  <c r="B231" i="18"/>
  <c r="A231" i="18"/>
  <c r="T230" i="18"/>
  <c r="D230" i="18"/>
  <c r="C230" i="18"/>
  <c r="B230" i="18"/>
  <c r="A230" i="18"/>
  <c r="T229" i="18"/>
  <c r="D229" i="18"/>
  <c r="C229" i="18"/>
  <c r="B229" i="18"/>
  <c r="A229" i="18"/>
  <c r="T228" i="18"/>
  <c r="D228" i="18"/>
  <c r="C228" i="18"/>
  <c r="B228" i="18"/>
  <c r="A228" i="18"/>
  <c r="T227" i="18"/>
  <c r="D227" i="18"/>
  <c r="C227" i="18"/>
  <c r="B227" i="18"/>
  <c r="A227" i="18"/>
  <c r="T226" i="18"/>
  <c r="D226" i="18"/>
  <c r="C226" i="18"/>
  <c r="B226" i="18"/>
  <c r="A226" i="18"/>
  <c r="T225" i="18"/>
  <c r="D225" i="18"/>
  <c r="C225" i="18"/>
  <c r="B225" i="18"/>
  <c r="A225" i="18"/>
  <c r="T224" i="18"/>
  <c r="D224" i="18"/>
  <c r="C224" i="18"/>
  <c r="B224" i="18"/>
  <c r="A224" i="18"/>
  <c r="T223" i="18"/>
  <c r="D223" i="18"/>
  <c r="C223" i="18"/>
  <c r="B223" i="18"/>
  <c r="A223" i="18"/>
  <c r="T222" i="18"/>
  <c r="D222" i="18"/>
  <c r="C222" i="18"/>
  <c r="B222" i="18"/>
  <c r="A222" i="18"/>
  <c r="T221" i="18"/>
  <c r="D221" i="18"/>
  <c r="C221" i="18"/>
  <c r="B221" i="18"/>
  <c r="A221" i="18"/>
  <c r="T220" i="18"/>
  <c r="D220" i="18"/>
  <c r="C220" i="18"/>
  <c r="B220" i="18"/>
  <c r="A220" i="18"/>
  <c r="T219" i="18"/>
  <c r="D219" i="18"/>
  <c r="C219" i="18"/>
  <c r="B219" i="18"/>
  <c r="A219" i="18"/>
  <c r="T218" i="18"/>
  <c r="D218" i="18"/>
  <c r="C218" i="18"/>
  <c r="B218" i="18"/>
  <c r="A218" i="18"/>
  <c r="T217" i="18"/>
  <c r="D217" i="18"/>
  <c r="C217" i="18"/>
  <c r="B217" i="18"/>
  <c r="A217" i="18"/>
  <c r="T216" i="18"/>
  <c r="D216" i="18"/>
  <c r="C216" i="18"/>
  <c r="B216" i="18"/>
  <c r="A216" i="18"/>
  <c r="T215" i="18"/>
  <c r="D215" i="18"/>
  <c r="C215" i="18"/>
  <c r="B215" i="18"/>
  <c r="A215" i="18"/>
  <c r="T214" i="18"/>
  <c r="D214" i="18"/>
  <c r="C214" i="18"/>
  <c r="B214" i="18"/>
  <c r="A214" i="18"/>
  <c r="T213" i="18"/>
  <c r="D213" i="18"/>
  <c r="C213" i="18"/>
  <c r="B213" i="18"/>
  <c r="A213" i="18"/>
  <c r="T212" i="18"/>
  <c r="D212" i="18"/>
  <c r="C212" i="18"/>
  <c r="B212" i="18"/>
  <c r="A212" i="18"/>
  <c r="T211" i="18"/>
  <c r="D211" i="18"/>
  <c r="C211" i="18"/>
  <c r="B211" i="18"/>
  <c r="A211" i="18"/>
  <c r="T210" i="18"/>
  <c r="D210" i="18"/>
  <c r="C210" i="18"/>
  <c r="B210" i="18"/>
  <c r="A210" i="18"/>
  <c r="T209" i="18"/>
  <c r="D209" i="18"/>
  <c r="C209" i="18"/>
  <c r="B209" i="18"/>
  <c r="A209" i="18"/>
  <c r="T208" i="18"/>
  <c r="D208" i="18"/>
  <c r="C208" i="18"/>
  <c r="B208" i="18"/>
  <c r="A208" i="18"/>
  <c r="T207" i="18"/>
  <c r="D207" i="18"/>
  <c r="C207" i="18"/>
  <c r="B207" i="18"/>
  <c r="A207" i="18"/>
  <c r="T206" i="18"/>
  <c r="D206" i="18"/>
  <c r="C206" i="18"/>
  <c r="B206" i="18"/>
  <c r="A206" i="18"/>
  <c r="T205" i="18"/>
  <c r="D205" i="18"/>
  <c r="C205" i="18"/>
  <c r="B205" i="18"/>
  <c r="A205" i="18"/>
  <c r="T204" i="18"/>
  <c r="D204" i="18"/>
  <c r="C204" i="18"/>
  <c r="B204" i="18"/>
  <c r="A204" i="18"/>
  <c r="T203" i="18"/>
  <c r="D203" i="18"/>
  <c r="C203" i="18"/>
  <c r="B203" i="18"/>
  <c r="A203" i="18"/>
  <c r="T202" i="18"/>
  <c r="D202" i="18"/>
  <c r="C202" i="18"/>
  <c r="B202" i="18"/>
  <c r="A202" i="18"/>
  <c r="T201" i="18"/>
  <c r="D201" i="18"/>
  <c r="C201" i="18"/>
  <c r="B201" i="18"/>
  <c r="A201" i="18"/>
  <c r="T200" i="18"/>
  <c r="D200" i="18"/>
  <c r="C200" i="18"/>
  <c r="B200" i="18"/>
  <c r="A200" i="18"/>
  <c r="T199" i="18"/>
  <c r="D199" i="18"/>
  <c r="C199" i="18"/>
  <c r="B199" i="18"/>
  <c r="A199" i="18"/>
  <c r="T198" i="18"/>
  <c r="D198" i="18"/>
  <c r="C198" i="18"/>
  <c r="B198" i="18"/>
  <c r="A198" i="18"/>
  <c r="T197" i="18"/>
  <c r="D197" i="18"/>
  <c r="C197" i="18"/>
  <c r="B197" i="18"/>
  <c r="A197" i="18"/>
  <c r="T196" i="18"/>
  <c r="D196" i="18"/>
  <c r="C196" i="18"/>
  <c r="B196" i="18"/>
  <c r="A196" i="18"/>
  <c r="T195" i="18"/>
  <c r="D195" i="18"/>
  <c r="C195" i="18"/>
  <c r="B195" i="18"/>
  <c r="A195" i="18"/>
  <c r="T194" i="18"/>
  <c r="D194" i="18"/>
  <c r="C194" i="18"/>
  <c r="B194" i="18"/>
  <c r="A194" i="18"/>
  <c r="T193" i="18"/>
  <c r="D193" i="18"/>
  <c r="C193" i="18"/>
  <c r="B193" i="18"/>
  <c r="A193" i="18"/>
  <c r="T192" i="18"/>
  <c r="D192" i="18"/>
  <c r="C192" i="18"/>
  <c r="B192" i="18"/>
  <c r="A192" i="18"/>
  <c r="T191" i="18"/>
  <c r="D191" i="18"/>
  <c r="C191" i="18"/>
  <c r="B191" i="18"/>
  <c r="A191" i="18"/>
  <c r="T190" i="18"/>
  <c r="D190" i="18"/>
  <c r="C190" i="18"/>
  <c r="B190" i="18"/>
  <c r="A190" i="18"/>
  <c r="T189" i="18"/>
  <c r="D189" i="18"/>
  <c r="C189" i="18"/>
  <c r="B189" i="18"/>
  <c r="A189" i="18"/>
  <c r="T188" i="18"/>
  <c r="D188" i="18"/>
  <c r="C188" i="18"/>
  <c r="B188" i="18"/>
  <c r="A188" i="18"/>
  <c r="T187" i="18"/>
  <c r="D187" i="18"/>
  <c r="C187" i="18"/>
  <c r="B187" i="18"/>
  <c r="A187" i="18"/>
  <c r="T186" i="18"/>
  <c r="D186" i="18"/>
  <c r="C186" i="18"/>
  <c r="B186" i="18"/>
  <c r="A186" i="18"/>
  <c r="T185" i="18"/>
  <c r="D185" i="18"/>
  <c r="C185" i="18"/>
  <c r="B185" i="18"/>
  <c r="A185" i="18"/>
  <c r="T184" i="18"/>
  <c r="D184" i="18"/>
  <c r="C184" i="18"/>
  <c r="B184" i="18"/>
  <c r="A184" i="18"/>
  <c r="T183" i="18"/>
  <c r="D183" i="18"/>
  <c r="C183" i="18"/>
  <c r="B183" i="18"/>
  <c r="A183" i="18"/>
  <c r="T182" i="18"/>
  <c r="D182" i="18"/>
  <c r="C182" i="18"/>
  <c r="B182" i="18"/>
  <c r="A182" i="18"/>
  <c r="T181" i="18"/>
  <c r="D181" i="18"/>
  <c r="C181" i="18"/>
  <c r="B181" i="18"/>
  <c r="A181" i="18"/>
  <c r="T180" i="18"/>
  <c r="D180" i="18"/>
  <c r="C180" i="18"/>
  <c r="B180" i="18"/>
  <c r="A180" i="18"/>
  <c r="T179" i="18"/>
  <c r="D179" i="18"/>
  <c r="C179" i="18"/>
  <c r="B179" i="18"/>
  <c r="A179" i="18"/>
  <c r="T178" i="18"/>
  <c r="D178" i="18"/>
  <c r="C178" i="18"/>
  <c r="B178" i="18"/>
  <c r="A178" i="18"/>
  <c r="T177" i="18"/>
  <c r="D177" i="18"/>
  <c r="C177" i="18"/>
  <c r="B177" i="18"/>
  <c r="A177" i="18"/>
  <c r="T176" i="18"/>
  <c r="D176" i="18"/>
  <c r="C176" i="18"/>
  <c r="B176" i="18"/>
  <c r="A176" i="18"/>
  <c r="T175" i="18"/>
  <c r="D175" i="18"/>
  <c r="C175" i="18"/>
  <c r="B175" i="18"/>
  <c r="A175" i="18"/>
  <c r="T174" i="18"/>
  <c r="D174" i="18"/>
  <c r="C174" i="18"/>
  <c r="B174" i="18"/>
  <c r="A174" i="18"/>
  <c r="T173" i="18"/>
  <c r="D173" i="18"/>
  <c r="C173" i="18"/>
  <c r="B173" i="18"/>
  <c r="A173" i="18"/>
  <c r="T172" i="18"/>
  <c r="D172" i="18"/>
  <c r="C172" i="18"/>
  <c r="B172" i="18"/>
  <c r="A172" i="18"/>
  <c r="T171" i="18"/>
  <c r="D171" i="18"/>
  <c r="C171" i="18"/>
  <c r="B171" i="18"/>
  <c r="A171" i="18"/>
  <c r="T170" i="18"/>
  <c r="D170" i="18"/>
  <c r="C170" i="18"/>
  <c r="B170" i="18"/>
  <c r="A170" i="18"/>
  <c r="T169" i="18"/>
  <c r="D169" i="18"/>
  <c r="C169" i="18"/>
  <c r="B169" i="18"/>
  <c r="A169" i="18"/>
  <c r="T168" i="18"/>
  <c r="D168" i="18"/>
  <c r="C168" i="18"/>
  <c r="B168" i="18"/>
  <c r="A168" i="18"/>
  <c r="T167" i="18"/>
  <c r="D167" i="18"/>
  <c r="C167" i="18"/>
  <c r="B167" i="18"/>
  <c r="A167" i="18"/>
  <c r="T166" i="18"/>
  <c r="D166" i="18"/>
  <c r="C166" i="18"/>
  <c r="B166" i="18"/>
  <c r="A166" i="18"/>
  <c r="T165" i="18"/>
  <c r="D165" i="18"/>
  <c r="C165" i="18"/>
  <c r="B165" i="18"/>
  <c r="A165" i="18"/>
  <c r="T164" i="18"/>
  <c r="D164" i="18"/>
  <c r="C164" i="18"/>
  <c r="B164" i="18"/>
  <c r="A164" i="18"/>
  <c r="T163" i="18"/>
  <c r="D163" i="18"/>
  <c r="C163" i="18"/>
  <c r="B163" i="18"/>
  <c r="A163" i="18"/>
  <c r="T162" i="18"/>
  <c r="D162" i="18"/>
  <c r="C162" i="18"/>
  <c r="B162" i="18"/>
  <c r="A162" i="18"/>
  <c r="T161" i="18"/>
  <c r="D161" i="18"/>
  <c r="C161" i="18"/>
  <c r="B161" i="18"/>
  <c r="A161" i="18"/>
  <c r="T160" i="18"/>
  <c r="D160" i="18"/>
  <c r="C160" i="18"/>
  <c r="B160" i="18"/>
  <c r="A160" i="18"/>
  <c r="T159" i="18"/>
  <c r="D159" i="18"/>
  <c r="C159" i="18"/>
  <c r="B159" i="18"/>
  <c r="A159" i="18"/>
  <c r="T158" i="18"/>
  <c r="D158" i="18"/>
  <c r="C158" i="18"/>
  <c r="B158" i="18"/>
  <c r="A158" i="18"/>
  <c r="T157" i="18"/>
  <c r="D157" i="18"/>
  <c r="C157" i="18"/>
  <c r="B157" i="18"/>
  <c r="A157" i="18"/>
  <c r="T156" i="18"/>
  <c r="D156" i="18"/>
  <c r="C156" i="18"/>
  <c r="B156" i="18"/>
  <c r="A156" i="18"/>
  <c r="T155" i="18"/>
  <c r="D155" i="18"/>
  <c r="C155" i="18"/>
  <c r="B155" i="18"/>
  <c r="A155" i="18"/>
  <c r="T154" i="18"/>
  <c r="D154" i="18"/>
  <c r="C154" i="18"/>
  <c r="B154" i="18"/>
  <c r="A154" i="18"/>
  <c r="T153" i="18"/>
  <c r="D153" i="18"/>
  <c r="C153" i="18"/>
  <c r="B153" i="18"/>
  <c r="A153" i="18"/>
  <c r="T152" i="18"/>
  <c r="D152" i="18"/>
  <c r="C152" i="18"/>
  <c r="B152" i="18"/>
  <c r="A152" i="18"/>
  <c r="T151" i="18"/>
  <c r="D151" i="18"/>
  <c r="C151" i="18"/>
  <c r="B151" i="18"/>
  <c r="A151" i="18"/>
  <c r="T150" i="18"/>
  <c r="D150" i="18"/>
  <c r="C150" i="18"/>
  <c r="B150" i="18"/>
  <c r="A150" i="18"/>
  <c r="T149" i="18"/>
  <c r="D149" i="18"/>
  <c r="C149" i="18"/>
  <c r="B149" i="18"/>
  <c r="A149" i="18"/>
  <c r="T148" i="18"/>
  <c r="D148" i="18"/>
  <c r="C148" i="18"/>
  <c r="B148" i="18"/>
  <c r="A148" i="18"/>
  <c r="T147" i="18"/>
  <c r="D147" i="18"/>
  <c r="C147" i="18"/>
  <c r="B147" i="18"/>
  <c r="A147" i="18"/>
  <c r="T146" i="18"/>
  <c r="D146" i="18"/>
  <c r="C146" i="18"/>
  <c r="B146" i="18"/>
  <c r="A146" i="18"/>
  <c r="T145" i="18"/>
  <c r="D145" i="18"/>
  <c r="C145" i="18"/>
  <c r="B145" i="18"/>
  <c r="A145" i="18"/>
  <c r="T144" i="18"/>
  <c r="D144" i="18"/>
  <c r="C144" i="18"/>
  <c r="B144" i="18"/>
  <c r="A144" i="18"/>
  <c r="T143" i="18"/>
  <c r="D143" i="18"/>
  <c r="C143" i="18"/>
  <c r="B143" i="18"/>
  <c r="A143" i="18"/>
  <c r="T142" i="18"/>
  <c r="D142" i="18"/>
  <c r="C142" i="18"/>
  <c r="B142" i="18"/>
  <c r="A142" i="18"/>
  <c r="T141" i="18"/>
  <c r="D141" i="18"/>
  <c r="C141" i="18"/>
  <c r="B141" i="18"/>
  <c r="A141" i="18"/>
  <c r="T140" i="18"/>
  <c r="D140" i="18"/>
  <c r="C140" i="18"/>
  <c r="B140" i="18"/>
  <c r="A140" i="18"/>
  <c r="T139" i="18"/>
  <c r="D139" i="18"/>
  <c r="C139" i="18"/>
  <c r="B139" i="18"/>
  <c r="A139" i="18"/>
  <c r="T138" i="18"/>
  <c r="D138" i="18"/>
  <c r="C138" i="18"/>
  <c r="B138" i="18"/>
  <c r="A138" i="18"/>
  <c r="T137" i="18"/>
  <c r="D137" i="18"/>
  <c r="C137" i="18"/>
  <c r="B137" i="18"/>
  <c r="A137" i="18"/>
  <c r="T136" i="18"/>
  <c r="D136" i="18"/>
  <c r="C136" i="18"/>
  <c r="B136" i="18"/>
  <c r="A136" i="18"/>
  <c r="T135" i="18"/>
  <c r="D135" i="18"/>
  <c r="C135" i="18"/>
  <c r="B135" i="18"/>
  <c r="A135" i="18"/>
  <c r="T134" i="18"/>
  <c r="D134" i="18"/>
  <c r="C134" i="18"/>
  <c r="B134" i="18"/>
  <c r="A134" i="18"/>
  <c r="T133" i="18"/>
  <c r="D133" i="18"/>
  <c r="C133" i="18"/>
  <c r="B133" i="18"/>
  <c r="A133" i="18"/>
  <c r="T132" i="18"/>
  <c r="D132" i="18"/>
  <c r="C132" i="18"/>
  <c r="B132" i="18"/>
  <c r="A132" i="18"/>
  <c r="T131" i="18"/>
  <c r="D131" i="18"/>
  <c r="C131" i="18"/>
  <c r="B131" i="18"/>
  <c r="A131" i="18"/>
  <c r="T130" i="18"/>
  <c r="D130" i="18"/>
  <c r="C130" i="18"/>
  <c r="B130" i="18"/>
  <c r="A130" i="18"/>
  <c r="T129" i="18"/>
  <c r="D129" i="18"/>
  <c r="C129" i="18"/>
  <c r="B129" i="18"/>
  <c r="A129" i="18"/>
  <c r="T128" i="18"/>
  <c r="D128" i="18"/>
  <c r="C128" i="18"/>
  <c r="B128" i="18"/>
  <c r="A128" i="18"/>
  <c r="T127" i="18"/>
  <c r="D127" i="18"/>
  <c r="C127" i="18"/>
  <c r="B127" i="18"/>
  <c r="A127" i="18"/>
  <c r="T126" i="18"/>
  <c r="D126" i="18"/>
  <c r="C126" i="18"/>
  <c r="B126" i="18"/>
  <c r="A126" i="18"/>
  <c r="T125" i="18"/>
  <c r="D125" i="18"/>
  <c r="C125" i="18"/>
  <c r="B125" i="18"/>
  <c r="A125" i="18"/>
  <c r="T124" i="18"/>
  <c r="D124" i="18"/>
  <c r="C124" i="18"/>
  <c r="B124" i="18"/>
  <c r="A124" i="18"/>
  <c r="T123" i="18"/>
  <c r="D123" i="18"/>
  <c r="C123" i="18"/>
  <c r="B123" i="18"/>
  <c r="A123" i="18"/>
  <c r="T122" i="18"/>
  <c r="D122" i="18"/>
  <c r="C122" i="18"/>
  <c r="B122" i="18"/>
  <c r="A122" i="18"/>
  <c r="T121" i="18"/>
  <c r="D121" i="18"/>
  <c r="C121" i="18"/>
  <c r="B121" i="18"/>
  <c r="A121" i="18"/>
  <c r="T120" i="18"/>
  <c r="D120" i="18"/>
  <c r="C120" i="18"/>
  <c r="B120" i="18"/>
  <c r="A120" i="18"/>
  <c r="T119" i="18"/>
  <c r="D119" i="18"/>
  <c r="C119" i="18"/>
  <c r="B119" i="18"/>
  <c r="A119" i="18"/>
  <c r="T118" i="18"/>
  <c r="D118" i="18"/>
  <c r="C118" i="18"/>
  <c r="B118" i="18"/>
  <c r="A118" i="18"/>
  <c r="T117" i="18"/>
  <c r="D117" i="18"/>
  <c r="C117" i="18"/>
  <c r="B117" i="18"/>
  <c r="A117" i="18"/>
  <c r="T116" i="18"/>
  <c r="D116" i="18"/>
  <c r="C116" i="18"/>
  <c r="B116" i="18"/>
  <c r="A116" i="18"/>
  <c r="T115" i="18"/>
  <c r="D115" i="18"/>
  <c r="C115" i="18"/>
  <c r="B115" i="18"/>
  <c r="A115" i="18"/>
  <c r="T114" i="18"/>
  <c r="D114" i="18"/>
  <c r="C114" i="18"/>
  <c r="B114" i="18"/>
  <c r="A114" i="18"/>
  <c r="T113" i="18"/>
  <c r="D113" i="18"/>
  <c r="C113" i="18"/>
  <c r="B113" i="18"/>
  <c r="A113" i="18"/>
  <c r="T112" i="18"/>
  <c r="D112" i="18"/>
  <c r="C112" i="18"/>
  <c r="B112" i="18"/>
  <c r="A112" i="18"/>
  <c r="T111" i="18"/>
  <c r="D111" i="18"/>
  <c r="C111" i="18"/>
  <c r="B111" i="18"/>
  <c r="A111" i="18"/>
  <c r="T110" i="18"/>
  <c r="D110" i="18"/>
  <c r="C110" i="18"/>
  <c r="B110" i="18"/>
  <c r="A110" i="18"/>
  <c r="T109" i="18"/>
  <c r="D109" i="18"/>
  <c r="C109" i="18"/>
  <c r="B109" i="18"/>
  <c r="A109" i="18"/>
  <c r="T108" i="18"/>
  <c r="D108" i="18"/>
  <c r="C108" i="18"/>
  <c r="B108" i="18"/>
  <c r="A108" i="18"/>
  <c r="T107" i="18"/>
  <c r="D107" i="18"/>
  <c r="C107" i="18"/>
  <c r="B107" i="18"/>
  <c r="A107" i="18"/>
  <c r="T106" i="18"/>
  <c r="D106" i="18"/>
  <c r="C106" i="18"/>
  <c r="B106" i="18"/>
  <c r="A106" i="18"/>
  <c r="T105" i="18"/>
  <c r="D105" i="18"/>
  <c r="C105" i="18"/>
  <c r="B105" i="18"/>
  <c r="A105" i="18"/>
  <c r="T104" i="18"/>
  <c r="D104" i="18"/>
  <c r="C104" i="18"/>
  <c r="B104" i="18"/>
  <c r="A104" i="18"/>
  <c r="T103" i="18"/>
  <c r="D103" i="18"/>
  <c r="C103" i="18"/>
  <c r="B103" i="18"/>
  <c r="A103" i="18"/>
  <c r="T102" i="18"/>
  <c r="D102" i="18"/>
  <c r="C102" i="18"/>
  <c r="B102" i="18"/>
  <c r="A102" i="18"/>
  <c r="T101" i="18"/>
  <c r="D101" i="18"/>
  <c r="C101" i="18"/>
  <c r="B101" i="18"/>
  <c r="A101" i="18"/>
  <c r="T100" i="18"/>
  <c r="D100" i="18"/>
  <c r="C100" i="18"/>
  <c r="B100" i="18"/>
  <c r="A100" i="18"/>
  <c r="T99" i="18"/>
  <c r="D99" i="18"/>
  <c r="C99" i="18"/>
  <c r="B99" i="18"/>
  <c r="A99" i="18"/>
  <c r="T98" i="18"/>
  <c r="D98" i="18"/>
  <c r="C98" i="18"/>
  <c r="B98" i="18"/>
  <c r="A98" i="18"/>
  <c r="T97" i="18"/>
  <c r="D97" i="18"/>
  <c r="C97" i="18"/>
  <c r="B97" i="18"/>
  <c r="A97" i="18"/>
  <c r="T96" i="18"/>
  <c r="D96" i="18"/>
  <c r="C96" i="18"/>
  <c r="B96" i="18"/>
  <c r="A96" i="18"/>
  <c r="T95" i="18"/>
  <c r="D95" i="18"/>
  <c r="C95" i="18"/>
  <c r="B95" i="18"/>
  <c r="A95" i="18"/>
  <c r="T94" i="18"/>
  <c r="D94" i="18"/>
  <c r="C94" i="18"/>
  <c r="B94" i="18"/>
  <c r="A94" i="18"/>
  <c r="T93" i="18"/>
  <c r="D93" i="18"/>
  <c r="C93" i="18"/>
  <c r="B93" i="18"/>
  <c r="A93" i="18"/>
  <c r="T92" i="18"/>
  <c r="D92" i="18"/>
  <c r="C92" i="18"/>
  <c r="B92" i="18"/>
  <c r="A92" i="18"/>
  <c r="T91" i="18"/>
  <c r="D91" i="18"/>
  <c r="C91" i="18"/>
  <c r="B91" i="18"/>
  <c r="A91" i="18"/>
  <c r="T90" i="18"/>
  <c r="D90" i="18"/>
  <c r="C90" i="18"/>
  <c r="B90" i="18"/>
  <c r="A90" i="18"/>
  <c r="T89" i="18"/>
  <c r="D89" i="18"/>
  <c r="C89" i="18"/>
  <c r="B89" i="18"/>
  <c r="A89" i="18"/>
  <c r="T88" i="18"/>
  <c r="D88" i="18"/>
  <c r="C88" i="18"/>
  <c r="B88" i="18"/>
  <c r="A88" i="18"/>
  <c r="T87" i="18"/>
  <c r="D87" i="18"/>
  <c r="C87" i="18"/>
  <c r="B87" i="18"/>
  <c r="A87" i="18"/>
  <c r="T86" i="18"/>
  <c r="D86" i="18"/>
  <c r="C86" i="18"/>
  <c r="B86" i="18"/>
  <c r="A86" i="18"/>
  <c r="T85" i="18"/>
  <c r="D85" i="18"/>
  <c r="C85" i="18"/>
  <c r="B85" i="18"/>
  <c r="A85" i="18"/>
  <c r="T84" i="18"/>
  <c r="D84" i="18"/>
  <c r="C84" i="18"/>
  <c r="B84" i="18"/>
  <c r="A84" i="18"/>
  <c r="T83" i="18"/>
  <c r="D83" i="18"/>
  <c r="C83" i="18"/>
  <c r="B83" i="18"/>
  <c r="A83" i="18"/>
  <c r="T82" i="18"/>
  <c r="D82" i="18"/>
  <c r="C82" i="18"/>
  <c r="B82" i="18"/>
  <c r="A82" i="18"/>
  <c r="T81" i="18"/>
  <c r="D81" i="18"/>
  <c r="C81" i="18"/>
  <c r="B81" i="18"/>
  <c r="A81" i="18"/>
  <c r="T80" i="18"/>
  <c r="D80" i="18"/>
  <c r="C80" i="18"/>
  <c r="B80" i="18"/>
  <c r="A80" i="18"/>
  <c r="T79" i="18"/>
  <c r="D79" i="18"/>
  <c r="C79" i="18"/>
  <c r="B79" i="18"/>
  <c r="A79" i="18"/>
  <c r="T78" i="18"/>
  <c r="D78" i="18"/>
  <c r="C78" i="18"/>
  <c r="B78" i="18"/>
  <c r="A78" i="18"/>
  <c r="T77" i="18"/>
  <c r="D77" i="18"/>
  <c r="C77" i="18"/>
  <c r="B77" i="18"/>
  <c r="A77" i="18"/>
  <c r="T76" i="18"/>
  <c r="D76" i="18"/>
  <c r="C76" i="18"/>
  <c r="B76" i="18"/>
  <c r="A76" i="18"/>
  <c r="T75" i="18"/>
  <c r="D75" i="18"/>
  <c r="C75" i="18"/>
  <c r="B75" i="18"/>
  <c r="A75" i="18"/>
  <c r="T74" i="18"/>
  <c r="D74" i="18"/>
  <c r="C74" i="18"/>
  <c r="B74" i="18"/>
  <c r="A74" i="18"/>
  <c r="T73" i="18"/>
  <c r="D73" i="18"/>
  <c r="C73" i="18"/>
  <c r="B73" i="18"/>
  <c r="A73" i="18"/>
  <c r="T72" i="18"/>
  <c r="D72" i="18"/>
  <c r="C72" i="18"/>
  <c r="B72" i="18"/>
  <c r="A72" i="18"/>
  <c r="T71" i="18"/>
  <c r="D71" i="18"/>
  <c r="C71" i="18"/>
  <c r="B71" i="18"/>
  <c r="A71" i="18"/>
  <c r="T70" i="18"/>
  <c r="D70" i="18"/>
  <c r="C70" i="18"/>
  <c r="B70" i="18"/>
  <c r="A70" i="18"/>
  <c r="T69" i="18"/>
  <c r="D69" i="18"/>
  <c r="C69" i="18"/>
  <c r="B69" i="18"/>
  <c r="A69" i="18"/>
  <c r="T68" i="18"/>
  <c r="D68" i="18"/>
  <c r="C68" i="18"/>
  <c r="B68" i="18"/>
  <c r="A68" i="18"/>
  <c r="T67" i="18"/>
  <c r="D67" i="18"/>
  <c r="C67" i="18"/>
  <c r="B67" i="18"/>
  <c r="A67" i="18"/>
  <c r="T66" i="18"/>
  <c r="D66" i="18"/>
  <c r="C66" i="18"/>
  <c r="B66" i="18"/>
  <c r="A66" i="18"/>
  <c r="T65" i="18"/>
  <c r="D65" i="18"/>
  <c r="C65" i="18"/>
  <c r="B65" i="18"/>
  <c r="A65" i="18"/>
  <c r="T64" i="18"/>
  <c r="D64" i="18"/>
  <c r="C64" i="18"/>
  <c r="B64" i="18"/>
  <c r="A64" i="18"/>
  <c r="T63" i="18"/>
  <c r="D63" i="18"/>
  <c r="C63" i="18"/>
  <c r="B63" i="18"/>
  <c r="A63" i="18"/>
  <c r="T62" i="18"/>
  <c r="D62" i="18"/>
  <c r="C62" i="18"/>
  <c r="B62" i="18"/>
  <c r="A62" i="18"/>
  <c r="T61" i="18"/>
  <c r="D61" i="18"/>
  <c r="C61" i="18"/>
  <c r="B61" i="18"/>
  <c r="A61" i="18"/>
  <c r="T60" i="18"/>
  <c r="D60" i="18"/>
  <c r="C60" i="18"/>
  <c r="B60" i="18"/>
  <c r="A60" i="18"/>
  <c r="T59" i="18"/>
  <c r="D59" i="18"/>
  <c r="C59" i="18"/>
  <c r="B59" i="18"/>
  <c r="A59" i="18"/>
  <c r="T58" i="18"/>
  <c r="D58" i="18"/>
  <c r="C58" i="18"/>
  <c r="B58" i="18"/>
  <c r="A58" i="18"/>
  <c r="T57" i="18"/>
  <c r="D57" i="18"/>
  <c r="C57" i="18"/>
  <c r="B57" i="18"/>
  <c r="A57" i="18"/>
  <c r="T56" i="18"/>
  <c r="D56" i="18"/>
  <c r="C56" i="18"/>
  <c r="B56" i="18"/>
  <c r="A56" i="18"/>
  <c r="T55" i="18"/>
  <c r="D55" i="18"/>
  <c r="C55" i="18"/>
  <c r="B55" i="18"/>
  <c r="A55" i="18"/>
  <c r="T54" i="18"/>
  <c r="D54" i="18"/>
  <c r="C54" i="18"/>
  <c r="B54" i="18"/>
  <c r="A54" i="18"/>
  <c r="T53" i="18"/>
  <c r="D53" i="18"/>
  <c r="C53" i="18"/>
  <c r="B53" i="18"/>
  <c r="A53" i="18"/>
  <c r="T52" i="18"/>
  <c r="D52" i="18"/>
  <c r="C52" i="18"/>
  <c r="B52" i="18"/>
  <c r="A52" i="18"/>
  <c r="T51" i="18"/>
  <c r="D51" i="18"/>
  <c r="C51" i="18"/>
  <c r="B51" i="18"/>
  <c r="A51" i="18"/>
  <c r="T50" i="18"/>
  <c r="D50" i="18"/>
  <c r="C50" i="18"/>
  <c r="B50" i="18"/>
  <c r="A50" i="18"/>
  <c r="T49" i="18"/>
  <c r="D49" i="18"/>
  <c r="C49" i="18"/>
  <c r="B49" i="18"/>
  <c r="A49" i="18"/>
  <c r="T48" i="18"/>
  <c r="D48" i="18"/>
  <c r="C48" i="18"/>
  <c r="B48" i="18"/>
  <c r="A48" i="18"/>
  <c r="T47" i="18"/>
  <c r="D47" i="18"/>
  <c r="C47" i="18"/>
  <c r="B47" i="18"/>
  <c r="A47" i="18"/>
  <c r="T46" i="18"/>
  <c r="D46" i="18"/>
  <c r="C46" i="18"/>
  <c r="B46" i="18"/>
  <c r="A46" i="18"/>
  <c r="T45" i="18"/>
  <c r="D45" i="18"/>
  <c r="C45" i="18"/>
  <c r="B45" i="18"/>
  <c r="A45" i="18"/>
  <c r="T44" i="18"/>
  <c r="D44" i="18"/>
  <c r="C44" i="18"/>
  <c r="B44" i="18"/>
  <c r="A44" i="18"/>
  <c r="T43" i="18"/>
  <c r="D43" i="18"/>
  <c r="C43" i="18"/>
  <c r="B43" i="18"/>
  <c r="A43" i="18"/>
  <c r="T42" i="18"/>
  <c r="D42" i="18"/>
  <c r="C42" i="18"/>
  <c r="B42" i="18"/>
  <c r="A42" i="18"/>
  <c r="T41" i="18"/>
  <c r="D41" i="18"/>
  <c r="C41" i="18"/>
  <c r="B41" i="18"/>
  <c r="A41" i="18"/>
  <c r="T40" i="18"/>
  <c r="D40" i="18"/>
  <c r="C40" i="18"/>
  <c r="B40" i="18"/>
  <c r="A40" i="18"/>
  <c r="T39" i="18"/>
  <c r="D39" i="18"/>
  <c r="C39" i="18"/>
  <c r="B39" i="18"/>
  <c r="A39" i="18"/>
  <c r="T38" i="18"/>
  <c r="D38" i="18"/>
  <c r="C38" i="18"/>
  <c r="B38" i="18"/>
  <c r="A38" i="18"/>
  <c r="T37" i="18"/>
  <c r="D37" i="18"/>
  <c r="C37" i="18"/>
  <c r="B37" i="18"/>
  <c r="A37" i="18"/>
  <c r="T36" i="18"/>
  <c r="D36" i="18"/>
  <c r="C36" i="18"/>
  <c r="B36" i="18"/>
  <c r="A36" i="18"/>
  <c r="T35" i="18"/>
  <c r="D35" i="18"/>
  <c r="C35" i="18"/>
  <c r="B35" i="18"/>
  <c r="A35" i="18"/>
  <c r="T34" i="18"/>
  <c r="D34" i="18"/>
  <c r="C34" i="18"/>
  <c r="B34" i="18"/>
  <c r="A34" i="18"/>
  <c r="T33" i="18"/>
  <c r="D33" i="18"/>
  <c r="C33" i="18"/>
  <c r="B33" i="18"/>
  <c r="A33" i="18"/>
  <c r="T32" i="18"/>
  <c r="D32" i="18"/>
  <c r="C32" i="18"/>
  <c r="B32" i="18"/>
  <c r="A32" i="18"/>
  <c r="T31" i="18"/>
  <c r="D31" i="18"/>
  <c r="C31" i="18"/>
  <c r="B31" i="18"/>
  <c r="A31" i="18"/>
  <c r="T30" i="18"/>
  <c r="D30" i="18"/>
  <c r="C30" i="18"/>
  <c r="B30" i="18"/>
  <c r="A30" i="18"/>
  <c r="T29" i="18"/>
  <c r="D29" i="18"/>
  <c r="C29" i="18"/>
  <c r="B29" i="18"/>
  <c r="A29" i="18"/>
  <c r="T28" i="18"/>
  <c r="D28" i="18"/>
  <c r="C28" i="18"/>
  <c r="B28" i="18"/>
  <c r="A28" i="18"/>
  <c r="T27" i="18"/>
  <c r="D27" i="18"/>
  <c r="C27" i="18"/>
  <c r="B27" i="18"/>
  <c r="A27" i="18"/>
  <c r="T26" i="18"/>
  <c r="D26" i="18"/>
  <c r="C26" i="18"/>
  <c r="B26" i="18"/>
  <c r="A26" i="18"/>
  <c r="T25" i="18"/>
  <c r="D25" i="18"/>
  <c r="C25" i="18"/>
  <c r="B25" i="18"/>
  <c r="A25" i="18"/>
  <c r="T24" i="18"/>
  <c r="D24" i="18"/>
  <c r="C24" i="18"/>
  <c r="B24" i="18"/>
  <c r="A24" i="18"/>
  <c r="T23" i="18"/>
  <c r="D23" i="18"/>
  <c r="C23" i="18"/>
  <c r="B23" i="18"/>
  <c r="A23" i="18"/>
  <c r="T22" i="18"/>
  <c r="D22" i="18"/>
  <c r="C22" i="18"/>
  <c r="B22" i="18"/>
  <c r="A22" i="18"/>
  <c r="T21" i="18"/>
  <c r="D21" i="18"/>
  <c r="C21" i="18"/>
  <c r="B21" i="18"/>
  <c r="A21" i="18"/>
  <c r="T20" i="18"/>
  <c r="D20" i="18"/>
  <c r="C20" i="18"/>
  <c r="B20" i="18"/>
  <c r="A20" i="18"/>
  <c r="T19" i="18"/>
  <c r="D19" i="18"/>
  <c r="C19" i="18"/>
  <c r="B19" i="18"/>
  <c r="A19" i="18"/>
  <c r="T18" i="18"/>
  <c r="D18" i="18"/>
  <c r="C18" i="18"/>
  <c r="B18" i="18"/>
  <c r="A18" i="18"/>
  <c r="T17" i="18"/>
  <c r="D17" i="18"/>
  <c r="C17" i="18"/>
  <c r="B17" i="18"/>
  <c r="A17" i="18"/>
  <c r="T16" i="18"/>
  <c r="D16" i="18"/>
  <c r="C16" i="18"/>
  <c r="B16" i="18"/>
  <c r="A16" i="18"/>
  <c r="U15" i="18"/>
  <c r="T15" i="18"/>
  <c r="D15" i="18"/>
  <c r="C15" i="18"/>
  <c r="B15" i="18"/>
  <c r="A15" i="18"/>
  <c r="U14" i="18"/>
  <c r="T14" i="18"/>
  <c r="D14" i="18"/>
  <c r="C14" i="18"/>
  <c r="B14" i="18"/>
  <c r="A14" i="18"/>
  <c r="U13" i="18"/>
  <c r="T13" i="18"/>
  <c r="D13" i="18"/>
  <c r="C13" i="18"/>
  <c r="B13" i="18"/>
  <c r="A13" i="18"/>
  <c r="U12" i="18"/>
  <c r="T12" i="18"/>
  <c r="D12" i="18"/>
  <c r="C12" i="18"/>
  <c r="B12" i="18"/>
  <c r="A12" i="18"/>
  <c r="U11" i="18"/>
  <c r="T11" i="18"/>
  <c r="D11" i="18"/>
  <c r="C11" i="18"/>
  <c r="B11" i="18"/>
  <c r="A11" i="18"/>
  <c r="U10" i="18"/>
  <c r="T10" i="18"/>
  <c r="D10" i="18"/>
  <c r="C10" i="18"/>
  <c r="B10" i="18"/>
  <c r="A10" i="18"/>
  <c r="U9" i="18"/>
  <c r="T9" i="18"/>
  <c r="D9" i="18"/>
  <c r="C9" i="18"/>
  <c r="B9" i="18"/>
  <c r="A9" i="18"/>
  <c r="U8" i="18"/>
  <c r="T8" i="18"/>
  <c r="D8" i="18"/>
  <c r="C8" i="18"/>
  <c r="B8" i="18"/>
  <c r="A8" i="18"/>
  <c r="U7" i="18"/>
  <c r="T7" i="18"/>
  <c r="D7" i="18"/>
  <c r="C7" i="18"/>
  <c r="B7" i="18"/>
  <c r="A7" i="18"/>
  <c r="U6" i="18"/>
  <c r="T6" i="18"/>
  <c r="D6" i="18"/>
  <c r="C6" i="18"/>
  <c r="B6" i="18"/>
  <c r="A6" i="18"/>
  <c r="U5" i="18"/>
  <c r="T5" i="18"/>
  <c r="D5" i="18"/>
  <c r="C5" i="18"/>
  <c r="B5" i="18"/>
  <c r="A5" i="18"/>
  <c r="V33" i="16"/>
  <c r="C33" i="16"/>
  <c r="C34" i="15" s="1"/>
  <c r="V32" i="16"/>
  <c r="C32" i="16"/>
  <c r="V31" i="16"/>
  <c r="C31" i="16"/>
  <c r="C32" i="15" s="1"/>
  <c r="L49" i="14"/>
  <c r="D49" i="14"/>
  <c r="L48" i="14"/>
  <c r="D48" i="14"/>
  <c r="L47" i="14"/>
  <c r="D47" i="14"/>
  <c r="L46" i="14"/>
  <c r="D46" i="14"/>
  <c r="L45" i="14"/>
  <c r="D45" i="14"/>
  <c r="L44" i="14"/>
  <c r="D44" i="14"/>
  <c r="L43" i="14"/>
  <c r="D43" i="14"/>
  <c r="L42" i="14"/>
  <c r="D42" i="14"/>
  <c r="L41" i="14"/>
  <c r="D41" i="14"/>
  <c r="L40" i="14"/>
  <c r="D40" i="14"/>
  <c r="L39" i="14"/>
  <c r="D39" i="14"/>
  <c r="L38" i="14"/>
  <c r="D38" i="14"/>
  <c r="D34" i="14"/>
  <c r="B34" i="14"/>
  <c r="D33" i="14"/>
  <c r="B33" i="14"/>
  <c r="D32" i="14"/>
  <c r="B32" i="14"/>
  <c r="D31" i="14"/>
  <c r="B31" i="14"/>
  <c r="D30" i="14"/>
  <c r="B30" i="14"/>
  <c r="D29" i="14"/>
  <c r="B29" i="14"/>
  <c r="D28" i="14"/>
  <c r="B28" i="14"/>
  <c r="D27" i="14"/>
  <c r="B27" i="14"/>
  <c r="D26" i="14"/>
  <c r="B26" i="14"/>
  <c r="I23" i="14"/>
  <c r="E23" i="14"/>
  <c r="D23" i="14"/>
  <c r="C23" i="14"/>
  <c r="I22" i="14"/>
  <c r="E22" i="14"/>
  <c r="D22" i="14"/>
  <c r="C22" i="14"/>
  <c r="I21" i="14"/>
  <c r="E21" i="14"/>
  <c r="D21" i="14"/>
  <c r="C21" i="14"/>
  <c r="I20" i="14"/>
  <c r="E20" i="14"/>
  <c r="G20" i="14" s="1"/>
  <c r="D20" i="14"/>
  <c r="C20" i="14"/>
  <c r="I19" i="14"/>
  <c r="E19" i="14"/>
  <c r="D19" i="14"/>
  <c r="C19" i="14"/>
  <c r="I18" i="14"/>
  <c r="F18" i="14"/>
  <c r="E18" i="14"/>
  <c r="D18" i="14"/>
  <c r="C18" i="14"/>
  <c r="N14" i="14"/>
  <c r="G14" i="14"/>
  <c r="C14" i="14"/>
  <c r="N13" i="14"/>
  <c r="G13" i="14"/>
  <c r="C13" i="14"/>
  <c r="N12" i="14"/>
  <c r="G12" i="14"/>
  <c r="C12" i="14"/>
  <c r="F8" i="14"/>
  <c r="E8" i="14"/>
  <c r="D8" i="14"/>
  <c r="F7" i="14"/>
  <c r="E7" i="14"/>
  <c r="D7" i="14"/>
  <c r="F6" i="14"/>
  <c r="E6" i="14"/>
  <c r="D6" i="14"/>
  <c r="S35" i="15"/>
  <c r="L35" i="15"/>
  <c r="I344" i="18" s="1"/>
  <c r="H35" i="15"/>
  <c r="H17" i="13" s="1"/>
  <c r="G35" i="15"/>
  <c r="I339" i="18" s="1"/>
  <c r="N339" i="18" s="1"/>
  <c r="S34" i="15"/>
  <c r="H34" i="15"/>
  <c r="I329" i="18" s="1"/>
  <c r="N329" i="18" s="1"/>
  <c r="G34" i="15"/>
  <c r="S33" i="15"/>
  <c r="H33" i="15"/>
  <c r="G33" i="15"/>
  <c r="I317" i="18" s="1"/>
  <c r="N317" i="18" s="1"/>
  <c r="S32" i="15"/>
  <c r="H32" i="15"/>
  <c r="I307" i="18" s="1"/>
  <c r="N307" i="18" s="1"/>
  <c r="G32" i="15"/>
  <c r="I306" i="18" s="1"/>
  <c r="N306" i="18" s="1"/>
  <c r="S31" i="15"/>
  <c r="H31" i="15"/>
  <c r="G31" i="15"/>
  <c r="I295" i="18" s="1"/>
  <c r="N295" i="18" s="1"/>
  <c r="S30" i="15"/>
  <c r="H30" i="15"/>
  <c r="I285" i="18" s="1"/>
  <c r="N285" i="18" s="1"/>
  <c r="G30" i="15"/>
  <c r="I284" i="18" s="1"/>
  <c r="N284" i="18" s="1"/>
  <c r="S29" i="15"/>
  <c r="H29" i="15"/>
  <c r="G29" i="15"/>
  <c r="I273" i="18" s="1"/>
  <c r="N273" i="18" s="1"/>
  <c r="S28" i="15"/>
  <c r="L28" i="15"/>
  <c r="I267" i="18" s="1"/>
  <c r="H28" i="15"/>
  <c r="H35" i="13" s="1"/>
  <c r="G28" i="15"/>
  <c r="I262" i="18" s="1"/>
  <c r="N262" i="18" s="1"/>
  <c r="S27" i="15"/>
  <c r="L27" i="15"/>
  <c r="H27" i="15"/>
  <c r="H34" i="13" s="1"/>
  <c r="G27" i="15"/>
  <c r="I251" i="18" s="1"/>
  <c r="N251" i="18" s="1"/>
  <c r="S26" i="15"/>
  <c r="L26" i="15"/>
  <c r="I245" i="18" s="1"/>
  <c r="H26" i="15"/>
  <c r="G26" i="15"/>
  <c r="S25" i="15"/>
  <c r="L25" i="15"/>
  <c r="H25" i="15"/>
  <c r="H32" i="13" s="1"/>
  <c r="G25" i="15"/>
  <c r="I229" i="18" s="1"/>
  <c r="N229" i="18" s="1"/>
  <c r="S24" i="15"/>
  <c r="L24" i="15"/>
  <c r="H24" i="15"/>
  <c r="H31" i="13" s="1"/>
  <c r="G24" i="15"/>
  <c r="G31" i="13" s="1"/>
  <c r="S23" i="15"/>
  <c r="L23" i="15"/>
  <c r="I212" i="18" s="1"/>
  <c r="H23" i="15"/>
  <c r="G23" i="15"/>
  <c r="I207" i="18" s="1"/>
  <c r="N207" i="18" s="1"/>
  <c r="S22" i="15"/>
  <c r="L22" i="15"/>
  <c r="I201" i="18" s="1"/>
  <c r="H22" i="15"/>
  <c r="G22" i="15"/>
  <c r="I196" i="18" s="1"/>
  <c r="N196" i="18" s="1"/>
  <c r="S21" i="15"/>
  <c r="L21" i="15"/>
  <c r="I190" i="18" s="1"/>
  <c r="H21" i="15"/>
  <c r="H28" i="13" s="1"/>
  <c r="G21" i="15"/>
  <c r="I185" i="18" s="1"/>
  <c r="N185" i="18" s="1"/>
  <c r="S20" i="15"/>
  <c r="L20" i="15"/>
  <c r="I179" i="18" s="1"/>
  <c r="H20" i="15"/>
  <c r="G20" i="15"/>
  <c r="I174" i="18" s="1"/>
  <c r="N174" i="18" s="1"/>
  <c r="S19" i="15"/>
  <c r="L19" i="15"/>
  <c r="I168" i="18" s="1"/>
  <c r="H19" i="15"/>
  <c r="H26" i="13" s="1"/>
  <c r="G19" i="15"/>
  <c r="I163" i="18" s="1"/>
  <c r="N163" i="18" s="1"/>
  <c r="S18" i="15"/>
  <c r="L18" i="15"/>
  <c r="I157" i="18" s="1"/>
  <c r="H18" i="15"/>
  <c r="G18" i="15"/>
  <c r="S17" i="15"/>
  <c r="L17" i="15"/>
  <c r="H17" i="15"/>
  <c r="I142" i="18" s="1"/>
  <c r="N142" i="18" s="1"/>
  <c r="G17" i="15"/>
  <c r="I141" i="18" s="1"/>
  <c r="N141" i="18" s="1"/>
  <c r="S16" i="15"/>
  <c r="U133" i="18" s="1"/>
  <c r="L16" i="15"/>
  <c r="H16" i="15"/>
  <c r="I131" i="18" s="1"/>
  <c r="N131" i="18" s="1"/>
  <c r="G16" i="15"/>
  <c r="S15" i="15"/>
  <c r="L15" i="15"/>
  <c r="I124" i="18" s="1"/>
  <c r="H15" i="15"/>
  <c r="I120" i="18" s="1"/>
  <c r="N120" i="18" s="1"/>
  <c r="G15" i="15"/>
  <c r="I119" i="18" s="1"/>
  <c r="N119" i="18" s="1"/>
  <c r="S14" i="15"/>
  <c r="U104" i="18" s="1"/>
  <c r="L14" i="15"/>
  <c r="H14" i="15"/>
  <c r="I109" i="18" s="1"/>
  <c r="N109" i="18" s="1"/>
  <c r="G14" i="15"/>
  <c r="I108" i="18" s="1"/>
  <c r="N108" i="18" s="1"/>
  <c r="S13" i="15"/>
  <c r="U99" i="18" s="1"/>
  <c r="L13" i="15"/>
  <c r="H13" i="15"/>
  <c r="I98" i="18" s="1"/>
  <c r="N98" i="18" s="1"/>
  <c r="G13" i="15"/>
  <c r="S12" i="15"/>
  <c r="U88" i="18" s="1"/>
  <c r="L12" i="15"/>
  <c r="I91" i="18" s="1"/>
  <c r="H12" i="15"/>
  <c r="I87" i="18" s="1"/>
  <c r="N87" i="18" s="1"/>
  <c r="G12" i="15"/>
  <c r="I86" i="18" s="1"/>
  <c r="N86" i="18" s="1"/>
  <c r="S11" i="15"/>
  <c r="U78" i="18" s="1"/>
  <c r="L11" i="15"/>
  <c r="H11" i="15"/>
  <c r="I76" i="18" s="1"/>
  <c r="N76" i="18" s="1"/>
  <c r="G11" i="15"/>
  <c r="I75" i="18" s="1"/>
  <c r="N75" i="18" s="1"/>
  <c r="S10" i="15"/>
  <c r="U70" i="18" s="1"/>
  <c r="L10" i="15"/>
  <c r="H10" i="15"/>
  <c r="I65" i="18" s="1"/>
  <c r="N65" i="18" s="1"/>
  <c r="G10" i="15"/>
  <c r="I64" i="18" s="1"/>
  <c r="N64" i="18" s="1"/>
  <c r="S9" i="15"/>
  <c r="U57" i="18" s="1"/>
  <c r="L9" i="15"/>
  <c r="L15" i="13" s="1"/>
  <c r="H9" i="15"/>
  <c r="I54" i="18" s="1"/>
  <c r="N54" i="18" s="1"/>
  <c r="G9" i="15"/>
  <c r="K9" i="15" s="1"/>
  <c r="S8" i="15"/>
  <c r="U46" i="18" s="1"/>
  <c r="L8" i="15"/>
  <c r="I47" i="18" s="1"/>
  <c r="H8" i="15"/>
  <c r="I43" i="18" s="1"/>
  <c r="N43" i="18" s="1"/>
  <c r="B8" i="15"/>
  <c r="S7" i="15"/>
  <c r="U36" i="18" s="1"/>
  <c r="L7" i="15"/>
  <c r="H7" i="15"/>
  <c r="H13" i="13" s="1"/>
  <c r="B7" i="15"/>
  <c r="S6" i="15"/>
  <c r="L6" i="15"/>
  <c r="I25" i="18" s="1"/>
  <c r="H6" i="15"/>
  <c r="B6" i="15"/>
  <c r="A58" i="13"/>
  <c r="A57" i="13"/>
  <c r="A56" i="13"/>
  <c r="A55" i="13"/>
  <c r="A54" i="13"/>
  <c r="A53" i="13"/>
  <c r="A52" i="13"/>
  <c r="A51" i="13"/>
  <c r="A50" i="13"/>
  <c r="A49" i="13"/>
  <c r="A48" i="13"/>
  <c r="A47" i="13"/>
  <c r="A46" i="13"/>
  <c r="A45" i="13"/>
  <c r="A44" i="13"/>
  <c r="A43" i="13"/>
  <c r="A42" i="13"/>
  <c r="A41" i="13"/>
  <c r="A40" i="13"/>
  <c r="A39" i="13"/>
  <c r="A38" i="13"/>
  <c r="A37" i="13"/>
  <c r="M35" i="13"/>
  <c r="M32" i="13"/>
  <c r="G32" i="13"/>
  <c r="L31" i="13"/>
  <c r="L29" i="13"/>
  <c r="H29" i="13"/>
  <c r="M28" i="13"/>
  <c r="L26" i="13"/>
  <c r="M25" i="13"/>
  <c r="L25" i="13"/>
  <c r="M24" i="13"/>
  <c r="M22" i="13"/>
  <c r="L20" i="13"/>
  <c r="H20" i="13"/>
  <c r="L19" i="13"/>
  <c r="G19" i="13"/>
  <c r="H18" i="13"/>
  <c r="G17" i="13"/>
  <c r="B14" i="13"/>
  <c r="B13" i="13"/>
  <c r="M12" i="13"/>
  <c r="L12" i="13"/>
  <c r="B12" i="13"/>
  <c r="B20" i="12"/>
  <c r="F20" i="12" s="1"/>
  <c r="B14" i="12"/>
  <c r="D14" i="12" s="1"/>
  <c r="B9" i="12"/>
  <c r="F9" i="12" s="1"/>
  <c r="B5" i="12"/>
  <c r="D5" i="12" s="1"/>
  <c r="J30" i="11"/>
  <c r="I30" i="11"/>
  <c r="E49" i="14" s="1"/>
  <c r="J29" i="11"/>
  <c r="I29" i="11"/>
  <c r="E48" i="14" s="1"/>
  <c r="J28" i="11"/>
  <c r="I28" i="11"/>
  <c r="E47" i="14" s="1"/>
  <c r="J27" i="11"/>
  <c r="I27" i="11"/>
  <c r="E46" i="14" s="1"/>
  <c r="J26" i="11"/>
  <c r="I26" i="11"/>
  <c r="E45" i="14" s="1"/>
  <c r="J25" i="11"/>
  <c r="I25" i="11"/>
  <c r="J24" i="11"/>
  <c r="I24" i="11"/>
  <c r="E43" i="14" s="1"/>
  <c r="J23" i="11"/>
  <c r="I23" i="11"/>
  <c r="J22" i="11"/>
  <c r="I22" i="11"/>
  <c r="E41" i="14" s="1"/>
  <c r="J21" i="11"/>
  <c r="I21" i="11"/>
  <c r="E40" i="14" s="1"/>
  <c r="J20" i="11"/>
  <c r="I20" i="11"/>
  <c r="E39" i="14" s="1"/>
  <c r="J19" i="11"/>
  <c r="I19" i="11"/>
  <c r="G13" i="11"/>
  <c r="F13" i="11"/>
  <c r="G12" i="11"/>
  <c r="F12" i="11"/>
  <c r="G11" i="11"/>
  <c r="F11" i="11"/>
  <c r="G10" i="11"/>
  <c r="J20" i="14" s="1"/>
  <c r="F10" i="11"/>
  <c r="G9" i="11"/>
  <c r="J19" i="14" s="1"/>
  <c r="F9" i="11"/>
  <c r="G8" i="11"/>
  <c r="F8" i="11"/>
  <c r="P38" i="10"/>
  <c r="M34" i="14" s="1"/>
  <c r="M38" i="10"/>
  <c r="I38" i="10"/>
  <c r="G38" i="10"/>
  <c r="H38" i="10" s="1"/>
  <c r="B38" i="10"/>
  <c r="P37" i="10"/>
  <c r="M30" i="14" s="1"/>
  <c r="M37" i="10"/>
  <c r="I37" i="10"/>
  <c r="G37" i="10"/>
  <c r="H37" i="10" s="1"/>
  <c r="B37" i="10"/>
  <c r="P36" i="10"/>
  <c r="M36" i="10"/>
  <c r="L36" i="10"/>
  <c r="J12" i="14" s="1"/>
  <c r="I36" i="10"/>
  <c r="G36" i="10"/>
  <c r="H36" i="10" s="1"/>
  <c r="B36" i="10"/>
  <c r="M30" i="10"/>
  <c r="L14" i="14" s="1"/>
  <c r="J30" i="10"/>
  <c r="E34" i="14" s="1"/>
  <c r="I30" i="10"/>
  <c r="E33" i="14" s="1"/>
  <c r="H30" i="10"/>
  <c r="J38" i="10" s="1"/>
  <c r="H14" i="14" s="1"/>
  <c r="G30" i="10"/>
  <c r="F14" i="14" s="1"/>
  <c r="B30" i="10"/>
  <c r="M29" i="10"/>
  <c r="L13" i="14" s="1"/>
  <c r="J29" i="10"/>
  <c r="L37" i="10" s="1"/>
  <c r="J13" i="14" s="1"/>
  <c r="I29" i="10"/>
  <c r="K37" i="10" s="1"/>
  <c r="I13" i="14" s="1"/>
  <c r="H29" i="10"/>
  <c r="J37" i="10" s="1"/>
  <c r="H13" i="14" s="1"/>
  <c r="G29" i="10"/>
  <c r="F13" i="14" s="1"/>
  <c r="B29" i="10"/>
  <c r="M28" i="10"/>
  <c r="K28" i="10"/>
  <c r="J28" i="10"/>
  <c r="I28" i="10"/>
  <c r="K36" i="10" s="1"/>
  <c r="I12" i="14" s="1"/>
  <c r="H28" i="10"/>
  <c r="J36" i="10" s="1"/>
  <c r="H12" i="14" s="1"/>
  <c r="G28" i="10"/>
  <c r="F12" i="14" s="1"/>
  <c r="B28" i="10"/>
  <c r="G22" i="10"/>
  <c r="K14" i="14" s="1"/>
  <c r="E22" i="10"/>
  <c r="D14" i="14" s="1"/>
  <c r="B22" i="10"/>
  <c r="B14" i="14" s="1"/>
  <c r="G21" i="10"/>
  <c r="K13" i="14" s="1"/>
  <c r="E21" i="10"/>
  <c r="D13" i="14" s="1"/>
  <c r="B21" i="10"/>
  <c r="B13" i="14" s="1"/>
  <c r="G20" i="10"/>
  <c r="E20" i="10"/>
  <c r="B20" i="10"/>
  <c r="B12" i="14" s="1"/>
  <c r="I14" i="10"/>
  <c r="J8" i="14" s="1"/>
  <c r="G14" i="10"/>
  <c r="H14" i="10" s="1"/>
  <c r="C14" i="10"/>
  <c r="C8" i="14" s="1"/>
  <c r="B14" i="10"/>
  <c r="B8" i="14" s="1"/>
  <c r="I13" i="10"/>
  <c r="J7" i="14" s="1"/>
  <c r="G13" i="10"/>
  <c r="H13" i="10" s="1"/>
  <c r="C13" i="10"/>
  <c r="C7" i="14" s="1"/>
  <c r="B13" i="10"/>
  <c r="B7" i="14" s="1"/>
  <c r="I12" i="10"/>
  <c r="J6" i="14" s="1"/>
  <c r="G12" i="10"/>
  <c r="H12" i="10" s="1"/>
  <c r="C12" i="10"/>
  <c r="C6" i="14" s="1"/>
  <c r="B12" i="10"/>
  <c r="B6" i="14" s="1"/>
  <c r="B14" i="9"/>
  <c r="B13" i="9"/>
  <c r="B12" i="9"/>
  <c r="B11" i="9"/>
  <c r="B10" i="9"/>
  <c r="B9" i="9"/>
  <c r="B8" i="9"/>
  <c r="B7" i="9"/>
  <c r="B6" i="9"/>
  <c r="L36" i="8"/>
  <c r="L37" i="8" s="1"/>
  <c r="K36" i="8"/>
  <c r="J36" i="8"/>
  <c r="E36" i="8"/>
  <c r="D36" i="8"/>
  <c r="Q34" i="8"/>
  <c r="H34" i="8"/>
  <c r="I34" i="8" s="1"/>
  <c r="C34" i="8"/>
  <c r="P34" i="8" s="1"/>
  <c r="Q33" i="8"/>
  <c r="M33" i="8"/>
  <c r="H33" i="8"/>
  <c r="I33" i="8" s="1"/>
  <c r="C33" i="8"/>
  <c r="P33" i="8" s="1"/>
  <c r="Q32" i="8"/>
  <c r="M32" i="8"/>
  <c r="C32" i="8" s="1"/>
  <c r="P32" i="8" s="1"/>
  <c r="H32" i="8"/>
  <c r="I32" i="8" s="1"/>
  <c r="Q31" i="8"/>
  <c r="M31" i="8"/>
  <c r="C31" i="8" s="1"/>
  <c r="P31" i="8" s="1"/>
  <c r="H31" i="8"/>
  <c r="I31" i="8" s="1"/>
  <c r="Q30" i="8"/>
  <c r="I30" i="8"/>
  <c r="H30" i="8"/>
  <c r="C30" i="8"/>
  <c r="P30" i="8" s="1"/>
  <c r="Q29" i="8"/>
  <c r="H29" i="8"/>
  <c r="I29" i="8" s="1"/>
  <c r="C29" i="8"/>
  <c r="P29" i="8" s="1"/>
  <c r="Q28" i="8"/>
  <c r="H28" i="8"/>
  <c r="I28" i="8" s="1"/>
  <c r="C28" i="8"/>
  <c r="P28" i="8" s="1"/>
  <c r="Q27" i="8"/>
  <c r="H27" i="8"/>
  <c r="I27" i="8" s="1"/>
  <c r="C27" i="8"/>
  <c r="P27" i="8" s="1"/>
  <c r="Q26" i="8"/>
  <c r="P26" i="8"/>
  <c r="H26" i="8"/>
  <c r="I26" i="8" s="1"/>
  <c r="C26" i="8"/>
  <c r="Q25" i="8"/>
  <c r="H25" i="8"/>
  <c r="I25" i="8" s="1"/>
  <c r="C25" i="8"/>
  <c r="P25" i="8" s="1"/>
  <c r="Q24" i="8"/>
  <c r="H24" i="8"/>
  <c r="I24" i="8" s="1"/>
  <c r="C24" i="8"/>
  <c r="P24" i="8" s="1"/>
  <c r="Q23" i="8"/>
  <c r="H23" i="8"/>
  <c r="I23" i="8" s="1"/>
  <c r="C23" i="8"/>
  <c r="P23" i="8" s="1"/>
  <c r="Q22" i="8"/>
  <c r="H22" i="8"/>
  <c r="I22" i="8" s="1"/>
  <c r="C22" i="8"/>
  <c r="P22" i="8" s="1"/>
  <c r="Q21" i="8"/>
  <c r="H21" i="8"/>
  <c r="I21" i="8" s="1"/>
  <c r="C21" i="8"/>
  <c r="P21" i="8" s="1"/>
  <c r="Q20" i="8"/>
  <c r="H20" i="8"/>
  <c r="I20" i="8" s="1"/>
  <c r="C20" i="8"/>
  <c r="P20" i="8" s="1"/>
  <c r="Q19" i="8"/>
  <c r="H19" i="8"/>
  <c r="I19" i="8" s="1"/>
  <c r="C19" i="8"/>
  <c r="P19" i="8" s="1"/>
  <c r="Q18" i="8"/>
  <c r="H18" i="8"/>
  <c r="I18" i="8" s="1"/>
  <c r="C18" i="8"/>
  <c r="P18" i="8" s="1"/>
  <c r="Q17" i="8"/>
  <c r="H17" i="8"/>
  <c r="I17" i="8" s="1"/>
  <c r="C17" i="8"/>
  <c r="P17" i="8" s="1"/>
  <c r="Q16" i="8"/>
  <c r="H16" i="8"/>
  <c r="I16" i="8" s="1"/>
  <c r="C16" i="8"/>
  <c r="P16" i="8" s="1"/>
  <c r="Q15" i="8"/>
  <c r="P15" i="8"/>
  <c r="H15" i="8"/>
  <c r="I15" i="8" s="1"/>
  <c r="C15" i="8"/>
  <c r="Q14" i="8"/>
  <c r="H14" i="8"/>
  <c r="I14" i="8" s="1"/>
  <c r="C14" i="8"/>
  <c r="P14" i="8" s="1"/>
  <c r="Q13" i="8"/>
  <c r="H13" i="8"/>
  <c r="I13" i="8" s="1"/>
  <c r="C13" i="8"/>
  <c r="P13" i="8" s="1"/>
  <c r="Q12" i="8"/>
  <c r="H12" i="8"/>
  <c r="I12" i="8" s="1"/>
  <c r="C12" i="8"/>
  <c r="P12" i="8" s="1"/>
  <c r="Q11" i="8"/>
  <c r="H11" i="8"/>
  <c r="I11" i="8" s="1"/>
  <c r="C11" i="8"/>
  <c r="P11" i="8" s="1"/>
  <c r="Q10" i="8"/>
  <c r="H10" i="8"/>
  <c r="I10" i="8" s="1"/>
  <c r="C10" i="8"/>
  <c r="P10" i="8" s="1"/>
  <c r="Q9" i="8"/>
  <c r="H9" i="8"/>
  <c r="I9" i="8" s="1"/>
  <c r="C9" i="8"/>
  <c r="P9" i="8" s="1"/>
  <c r="Q8" i="8"/>
  <c r="H8" i="8"/>
  <c r="I8" i="8" s="1"/>
  <c r="C8" i="8"/>
  <c r="P8" i="8" s="1"/>
  <c r="N7" i="8"/>
  <c r="G7" i="8"/>
  <c r="H7" i="8" s="1"/>
  <c r="F7" i="8"/>
  <c r="C7" i="8"/>
  <c r="B7" i="8"/>
  <c r="Q7" i="8" s="1"/>
  <c r="Q6" i="8"/>
  <c r="N6" i="8"/>
  <c r="G6" i="8"/>
  <c r="H6" i="8" s="1"/>
  <c r="F6" i="8"/>
  <c r="C6" i="8"/>
  <c r="B6" i="8"/>
  <c r="N5" i="8"/>
  <c r="G5" i="8"/>
  <c r="H5" i="8" s="1"/>
  <c r="F5" i="8"/>
  <c r="C5" i="8"/>
  <c r="B5" i="8"/>
  <c r="Q5" i="8" s="1"/>
  <c r="G17" i="6"/>
  <c r="Q7" i="16" s="1"/>
  <c r="F17" i="6"/>
  <c r="H17" i="6" s="1"/>
  <c r="G16" i="6"/>
  <c r="F15" i="6"/>
  <c r="H15" i="6" s="1"/>
  <c r="G14" i="6"/>
  <c r="N9" i="16" s="1"/>
  <c r="F14" i="6"/>
  <c r="H14" i="6" s="1"/>
  <c r="F13" i="6"/>
  <c r="H13" i="6" s="1"/>
  <c r="F12" i="6"/>
  <c r="H12" i="6" s="1"/>
  <c r="G11" i="6"/>
  <c r="F11" i="6"/>
  <c r="H11" i="6" s="1"/>
  <c r="G10" i="6"/>
  <c r="F10" i="6"/>
  <c r="H10" i="6" s="1"/>
  <c r="G9" i="6"/>
  <c r="I5" i="16" s="1"/>
  <c r="F9" i="6"/>
  <c r="H9" i="6" s="1"/>
  <c r="G8" i="6"/>
  <c r="F8" i="6"/>
  <c r="H8" i="6" s="1"/>
  <c r="G7" i="6"/>
  <c r="F7" i="6"/>
  <c r="H7" i="6" s="1"/>
  <c r="G6" i="6"/>
  <c r="F11" i="16" s="1"/>
  <c r="F6" i="6"/>
  <c r="H6" i="6" s="1"/>
  <c r="G5" i="6"/>
  <c r="E30" i="16" s="1"/>
  <c r="F5" i="6"/>
  <c r="H5" i="6" s="1"/>
  <c r="K260" i="7"/>
  <c r="J260" i="7"/>
  <c r="I260" i="7"/>
  <c r="G260" i="7"/>
  <c r="D260" i="7"/>
  <c r="K259" i="7"/>
  <c r="J259" i="7"/>
  <c r="I259" i="7"/>
  <c r="G259" i="7"/>
  <c r="D259" i="7"/>
  <c r="K258" i="7"/>
  <c r="J258" i="7"/>
  <c r="I258" i="7"/>
  <c r="G258" i="7"/>
  <c r="D258" i="7"/>
  <c r="K257" i="7"/>
  <c r="J257" i="7"/>
  <c r="I257" i="7"/>
  <c r="G257" i="7"/>
  <c r="D257" i="7"/>
  <c r="K256" i="7"/>
  <c r="J256" i="7"/>
  <c r="I256" i="7"/>
  <c r="G256" i="7"/>
  <c r="D256" i="7"/>
  <c r="K255" i="7"/>
  <c r="J255" i="7"/>
  <c r="I255" i="7"/>
  <c r="G255" i="7"/>
  <c r="D255" i="7"/>
  <c r="K254" i="7"/>
  <c r="J254" i="7"/>
  <c r="I254" i="7"/>
  <c r="G254" i="7"/>
  <c r="D254" i="7"/>
  <c r="K253" i="7"/>
  <c r="J253" i="7"/>
  <c r="I253" i="7"/>
  <c r="G253" i="7"/>
  <c r="D253" i="7"/>
  <c r="K252" i="7"/>
  <c r="J252" i="7"/>
  <c r="I252" i="7"/>
  <c r="G252" i="7"/>
  <c r="D252" i="7"/>
  <c r="K251" i="7"/>
  <c r="J251" i="7"/>
  <c r="I251" i="7"/>
  <c r="G251" i="7"/>
  <c r="D251" i="7"/>
  <c r="K250" i="7"/>
  <c r="J250" i="7"/>
  <c r="I250" i="7"/>
  <c r="G250" i="7"/>
  <c r="D250" i="7"/>
  <c r="K249" i="7"/>
  <c r="J249" i="7"/>
  <c r="I249" i="7"/>
  <c r="G249" i="7"/>
  <c r="D249" i="7"/>
  <c r="K248" i="7"/>
  <c r="J248" i="7"/>
  <c r="I248" i="7"/>
  <c r="G248" i="7"/>
  <c r="D248" i="7"/>
  <c r="K247" i="7"/>
  <c r="J247" i="7"/>
  <c r="I247" i="7"/>
  <c r="G247" i="7"/>
  <c r="D247" i="7"/>
  <c r="K246" i="7"/>
  <c r="J246" i="7"/>
  <c r="I246" i="7"/>
  <c r="G246" i="7"/>
  <c r="D246" i="7"/>
  <c r="K245" i="7"/>
  <c r="J245" i="7"/>
  <c r="I245" i="7"/>
  <c r="G245" i="7"/>
  <c r="D245" i="7"/>
  <c r="K244" i="7"/>
  <c r="J244" i="7"/>
  <c r="I244" i="7"/>
  <c r="G244" i="7"/>
  <c r="D244" i="7"/>
  <c r="K243" i="7"/>
  <c r="J243" i="7"/>
  <c r="I243" i="7"/>
  <c r="G243" i="7"/>
  <c r="D243" i="7"/>
  <c r="K242" i="7"/>
  <c r="J242" i="7"/>
  <c r="I242" i="7"/>
  <c r="G242" i="7"/>
  <c r="D242" i="7"/>
  <c r="K241" i="7"/>
  <c r="J241" i="7"/>
  <c r="I241" i="7"/>
  <c r="G241" i="7"/>
  <c r="D241" i="7"/>
  <c r="K240" i="7"/>
  <c r="J240" i="7"/>
  <c r="I240" i="7"/>
  <c r="G240" i="7"/>
  <c r="D240" i="7"/>
  <c r="K239" i="7"/>
  <c r="J239" i="7"/>
  <c r="I239" i="7"/>
  <c r="G239" i="7"/>
  <c r="D239" i="7"/>
  <c r="K238" i="7"/>
  <c r="J238" i="7"/>
  <c r="I238" i="7"/>
  <c r="G238" i="7"/>
  <c r="D238" i="7"/>
  <c r="K237" i="7"/>
  <c r="J237" i="7"/>
  <c r="I237" i="7"/>
  <c r="G237" i="7"/>
  <c r="D237" i="7"/>
  <c r="K236" i="7"/>
  <c r="J236" i="7"/>
  <c r="I236" i="7"/>
  <c r="G236" i="7"/>
  <c r="D236" i="7"/>
  <c r="K235" i="7"/>
  <c r="J235" i="7"/>
  <c r="I235" i="7"/>
  <c r="G235" i="7"/>
  <c r="D235" i="7"/>
  <c r="K234" i="7"/>
  <c r="J234" i="7"/>
  <c r="I234" i="7"/>
  <c r="G234" i="7"/>
  <c r="D234" i="7"/>
  <c r="K233" i="7"/>
  <c r="J233" i="7"/>
  <c r="I233" i="7"/>
  <c r="G233" i="7"/>
  <c r="D233" i="7"/>
  <c r="K232" i="7"/>
  <c r="J232" i="7"/>
  <c r="I232" i="7"/>
  <c r="G232" i="7"/>
  <c r="D232" i="7"/>
  <c r="K231" i="7"/>
  <c r="J231" i="7"/>
  <c r="I231" i="7"/>
  <c r="G231" i="7"/>
  <c r="D231" i="7"/>
  <c r="K230" i="7"/>
  <c r="J230" i="7"/>
  <c r="I230" i="7"/>
  <c r="G230" i="7"/>
  <c r="D230" i="7"/>
  <c r="K229" i="7"/>
  <c r="J229" i="7"/>
  <c r="I229" i="7"/>
  <c r="G229" i="7"/>
  <c r="D229" i="7"/>
  <c r="K228" i="7"/>
  <c r="J228" i="7"/>
  <c r="I228" i="7"/>
  <c r="G228" i="7"/>
  <c r="D228" i="7"/>
  <c r="K227" i="7"/>
  <c r="J227" i="7"/>
  <c r="I227" i="7"/>
  <c r="G227" i="7"/>
  <c r="D227" i="7"/>
  <c r="K226" i="7"/>
  <c r="J226" i="7"/>
  <c r="I226" i="7"/>
  <c r="G226" i="7"/>
  <c r="D226" i="7"/>
  <c r="K225" i="7"/>
  <c r="J225" i="7"/>
  <c r="I225" i="7"/>
  <c r="G225" i="7"/>
  <c r="D225" i="7"/>
  <c r="K224" i="7"/>
  <c r="J224" i="7"/>
  <c r="I224" i="7"/>
  <c r="G224" i="7"/>
  <c r="D224" i="7"/>
  <c r="K223" i="7"/>
  <c r="J223" i="7"/>
  <c r="I223" i="7"/>
  <c r="G223" i="7"/>
  <c r="D223" i="7"/>
  <c r="K222" i="7"/>
  <c r="J222" i="7"/>
  <c r="I222" i="7"/>
  <c r="G222" i="7"/>
  <c r="D222" i="7"/>
  <c r="K221" i="7"/>
  <c r="J221" i="7"/>
  <c r="I221" i="7"/>
  <c r="G221" i="7"/>
  <c r="D221" i="7"/>
  <c r="K220" i="7"/>
  <c r="J220" i="7"/>
  <c r="I220" i="7"/>
  <c r="G220" i="7"/>
  <c r="D220" i="7"/>
  <c r="K219" i="7"/>
  <c r="J219" i="7"/>
  <c r="I219" i="7"/>
  <c r="G219" i="7"/>
  <c r="D219" i="7"/>
  <c r="K218" i="7"/>
  <c r="J218" i="7"/>
  <c r="I218" i="7"/>
  <c r="G218" i="7"/>
  <c r="D218" i="7"/>
  <c r="K217" i="7"/>
  <c r="J217" i="7"/>
  <c r="I217" i="7"/>
  <c r="G217" i="7"/>
  <c r="D217" i="7"/>
  <c r="K216" i="7"/>
  <c r="J216" i="7"/>
  <c r="I216" i="7"/>
  <c r="G216" i="7"/>
  <c r="D216" i="7"/>
  <c r="K215" i="7"/>
  <c r="J215" i="7"/>
  <c r="I215" i="7"/>
  <c r="G215" i="7"/>
  <c r="D215" i="7"/>
  <c r="K214" i="7"/>
  <c r="J214" i="7"/>
  <c r="I214" i="7"/>
  <c r="G214" i="7"/>
  <c r="D214" i="7"/>
  <c r="K213" i="7"/>
  <c r="J213" i="7"/>
  <c r="I213" i="7"/>
  <c r="G213" i="7"/>
  <c r="D213" i="7"/>
  <c r="K212" i="7"/>
  <c r="J212" i="7"/>
  <c r="I212" i="7"/>
  <c r="G212" i="7"/>
  <c r="D212" i="7"/>
  <c r="K211" i="7"/>
  <c r="J211" i="7"/>
  <c r="I211" i="7"/>
  <c r="G211" i="7"/>
  <c r="D211" i="7"/>
  <c r="K210" i="7"/>
  <c r="J210" i="7"/>
  <c r="I210" i="7"/>
  <c r="G210" i="7"/>
  <c r="D210" i="7"/>
  <c r="K209" i="7"/>
  <c r="J209" i="7"/>
  <c r="I209" i="7"/>
  <c r="G209" i="7"/>
  <c r="D209" i="7"/>
  <c r="K208" i="7"/>
  <c r="J208" i="7"/>
  <c r="I208" i="7"/>
  <c r="G208" i="7"/>
  <c r="D208" i="7"/>
  <c r="K207" i="7"/>
  <c r="J207" i="7"/>
  <c r="I207" i="7"/>
  <c r="G207" i="7"/>
  <c r="D207" i="7"/>
  <c r="K206" i="7"/>
  <c r="J206" i="7"/>
  <c r="I206" i="7"/>
  <c r="G206" i="7"/>
  <c r="D206" i="7"/>
  <c r="K205" i="7"/>
  <c r="J205" i="7"/>
  <c r="I205" i="7"/>
  <c r="G205" i="7"/>
  <c r="D205" i="7"/>
  <c r="K204" i="7"/>
  <c r="J204" i="7"/>
  <c r="I204" i="7"/>
  <c r="G204" i="7"/>
  <c r="D204" i="7"/>
  <c r="K203" i="7"/>
  <c r="J203" i="7"/>
  <c r="I203" i="7"/>
  <c r="G203" i="7"/>
  <c r="D203" i="7"/>
  <c r="K202" i="7"/>
  <c r="J202" i="7"/>
  <c r="I202" i="7"/>
  <c r="G202" i="7"/>
  <c r="D202" i="7"/>
  <c r="K201" i="7"/>
  <c r="J201" i="7"/>
  <c r="I201" i="7"/>
  <c r="G201" i="7"/>
  <c r="D201" i="7"/>
  <c r="K200" i="7"/>
  <c r="J200" i="7"/>
  <c r="I200" i="7"/>
  <c r="G200" i="7"/>
  <c r="D200" i="7"/>
  <c r="K199" i="7"/>
  <c r="J199" i="7"/>
  <c r="I199" i="7"/>
  <c r="G199" i="7"/>
  <c r="D199" i="7"/>
  <c r="K198" i="7"/>
  <c r="J198" i="7"/>
  <c r="I198" i="7"/>
  <c r="G198" i="7"/>
  <c r="D198" i="7"/>
  <c r="K197" i="7"/>
  <c r="J197" i="7"/>
  <c r="I197" i="7"/>
  <c r="G197" i="7"/>
  <c r="D197" i="7"/>
  <c r="K196" i="7"/>
  <c r="J196" i="7"/>
  <c r="I196" i="7"/>
  <c r="G196" i="7"/>
  <c r="D196" i="7"/>
  <c r="K195" i="7"/>
  <c r="J195" i="7"/>
  <c r="I195" i="7"/>
  <c r="G195" i="7"/>
  <c r="D195" i="7"/>
  <c r="K194" i="7"/>
  <c r="J194" i="7"/>
  <c r="I194" i="7"/>
  <c r="G194" i="7"/>
  <c r="D194" i="7"/>
  <c r="K193" i="7"/>
  <c r="J193" i="7"/>
  <c r="I193" i="7"/>
  <c r="G193" i="7"/>
  <c r="D193" i="7"/>
  <c r="K192" i="7"/>
  <c r="J192" i="7"/>
  <c r="I192" i="7"/>
  <c r="G192" i="7"/>
  <c r="D192" i="7"/>
  <c r="K191" i="7"/>
  <c r="J191" i="7"/>
  <c r="I191" i="7"/>
  <c r="G191" i="7"/>
  <c r="D191" i="7"/>
  <c r="K190" i="7"/>
  <c r="J190" i="7"/>
  <c r="I190" i="7"/>
  <c r="G190" i="7"/>
  <c r="D190" i="7"/>
  <c r="K189" i="7"/>
  <c r="J189" i="7"/>
  <c r="I189" i="7"/>
  <c r="G189" i="7"/>
  <c r="D189" i="7"/>
  <c r="K188" i="7"/>
  <c r="J188" i="7"/>
  <c r="I188" i="7"/>
  <c r="G188" i="7"/>
  <c r="D188" i="7"/>
  <c r="K187" i="7"/>
  <c r="J187" i="7"/>
  <c r="I187" i="7"/>
  <c r="G187" i="7"/>
  <c r="D187" i="7"/>
  <c r="K186" i="7"/>
  <c r="J186" i="7"/>
  <c r="I186" i="7"/>
  <c r="G186" i="7"/>
  <c r="D186" i="7"/>
  <c r="K185" i="7"/>
  <c r="J185" i="7"/>
  <c r="I185" i="7"/>
  <c r="G185" i="7"/>
  <c r="D185" i="7"/>
  <c r="K184" i="7"/>
  <c r="J184" i="7"/>
  <c r="I184" i="7"/>
  <c r="G184" i="7"/>
  <c r="D184" i="7"/>
  <c r="K183" i="7"/>
  <c r="J183" i="7"/>
  <c r="I183" i="7"/>
  <c r="G183" i="7"/>
  <c r="D183" i="7"/>
  <c r="K182" i="7"/>
  <c r="J182" i="7"/>
  <c r="I182" i="7"/>
  <c r="G182" i="7"/>
  <c r="D182" i="7"/>
  <c r="K181" i="7"/>
  <c r="J181" i="7"/>
  <c r="I181" i="7"/>
  <c r="G181" i="7"/>
  <c r="D181" i="7"/>
  <c r="K180" i="7"/>
  <c r="J180" i="7"/>
  <c r="I180" i="7"/>
  <c r="G180" i="7"/>
  <c r="D180" i="7"/>
  <c r="K179" i="7"/>
  <c r="J179" i="7"/>
  <c r="I179" i="7"/>
  <c r="G179" i="7"/>
  <c r="D179" i="7"/>
  <c r="K178" i="7"/>
  <c r="J178" i="7"/>
  <c r="I178" i="7"/>
  <c r="G178" i="7"/>
  <c r="D178" i="7"/>
  <c r="K177" i="7"/>
  <c r="J177" i="7"/>
  <c r="I177" i="7"/>
  <c r="G177" i="7"/>
  <c r="D177" i="7"/>
  <c r="K176" i="7"/>
  <c r="J176" i="7"/>
  <c r="I176" i="7"/>
  <c r="G176" i="7"/>
  <c r="D176" i="7"/>
  <c r="K175" i="7"/>
  <c r="J175" i="7"/>
  <c r="I175" i="7"/>
  <c r="G175" i="7"/>
  <c r="D175" i="7"/>
  <c r="K174" i="7"/>
  <c r="J174" i="7"/>
  <c r="I174" i="7"/>
  <c r="G174" i="7"/>
  <c r="D174" i="7"/>
  <c r="K173" i="7"/>
  <c r="J173" i="7"/>
  <c r="I173" i="7"/>
  <c r="G173" i="7"/>
  <c r="D173" i="7"/>
  <c r="K172" i="7"/>
  <c r="J172" i="7"/>
  <c r="I172" i="7"/>
  <c r="G172" i="7"/>
  <c r="D172" i="7"/>
  <c r="K171" i="7"/>
  <c r="J171" i="7"/>
  <c r="I171" i="7"/>
  <c r="G171" i="7"/>
  <c r="D171" i="7"/>
  <c r="K170" i="7"/>
  <c r="J170" i="7"/>
  <c r="I170" i="7"/>
  <c r="G170" i="7"/>
  <c r="D170" i="7"/>
  <c r="K169" i="7"/>
  <c r="J169" i="7"/>
  <c r="I169" i="7"/>
  <c r="G169" i="7"/>
  <c r="D169" i="7"/>
  <c r="K168" i="7"/>
  <c r="J168" i="7"/>
  <c r="I168" i="7"/>
  <c r="G168" i="7"/>
  <c r="D168" i="7"/>
  <c r="K167" i="7"/>
  <c r="J167" i="7"/>
  <c r="I167" i="7"/>
  <c r="G167" i="7"/>
  <c r="D167" i="7"/>
  <c r="K166" i="7"/>
  <c r="J166" i="7"/>
  <c r="I166" i="7"/>
  <c r="G166" i="7"/>
  <c r="D166" i="7"/>
  <c r="K165" i="7"/>
  <c r="J165" i="7"/>
  <c r="I165" i="7"/>
  <c r="G165" i="7"/>
  <c r="D165" i="7"/>
  <c r="K164" i="7"/>
  <c r="J164" i="7"/>
  <c r="I164" i="7"/>
  <c r="G164" i="7"/>
  <c r="D164" i="7"/>
  <c r="K163" i="7"/>
  <c r="J163" i="7"/>
  <c r="I163" i="7"/>
  <c r="G163" i="7"/>
  <c r="D163" i="7"/>
  <c r="K162" i="7"/>
  <c r="J162" i="7"/>
  <c r="I162" i="7"/>
  <c r="G162" i="7"/>
  <c r="D162" i="7"/>
  <c r="K161" i="7"/>
  <c r="J161" i="7"/>
  <c r="I161" i="7"/>
  <c r="G161" i="7"/>
  <c r="D161" i="7"/>
  <c r="K160" i="7"/>
  <c r="J160" i="7"/>
  <c r="I160" i="7"/>
  <c r="G160" i="7"/>
  <c r="F160" i="7"/>
  <c r="D160" i="7"/>
  <c r="K159" i="7"/>
  <c r="J159" i="7"/>
  <c r="I159" i="7"/>
  <c r="F159" i="7" s="1"/>
  <c r="G159" i="7"/>
  <c r="D159" i="7"/>
  <c r="K158" i="7"/>
  <c r="J158" i="7"/>
  <c r="I158" i="7"/>
  <c r="G158" i="7"/>
  <c r="D158" i="7"/>
  <c r="K157" i="7"/>
  <c r="J157" i="7"/>
  <c r="I157" i="7"/>
  <c r="G157" i="7"/>
  <c r="D157" i="7"/>
  <c r="K156" i="7"/>
  <c r="J156" i="7"/>
  <c r="I156" i="7"/>
  <c r="G156" i="7"/>
  <c r="D156" i="7"/>
  <c r="K155" i="7"/>
  <c r="J155" i="7"/>
  <c r="I155" i="7"/>
  <c r="G155" i="7"/>
  <c r="D155" i="7"/>
  <c r="K154" i="7"/>
  <c r="J154" i="7"/>
  <c r="I154" i="7"/>
  <c r="G154" i="7"/>
  <c r="D154" i="7"/>
  <c r="K153" i="7"/>
  <c r="J153" i="7"/>
  <c r="I153" i="7"/>
  <c r="G153" i="7"/>
  <c r="D153" i="7"/>
  <c r="K152" i="7"/>
  <c r="J152" i="7"/>
  <c r="I152" i="7"/>
  <c r="F152" i="7" s="1"/>
  <c r="G152" i="7"/>
  <c r="D152" i="7"/>
  <c r="K151" i="7"/>
  <c r="J151" i="7"/>
  <c r="I151" i="7"/>
  <c r="G151" i="7"/>
  <c r="D151" i="7"/>
  <c r="K150" i="7"/>
  <c r="J150" i="7"/>
  <c r="I150" i="7"/>
  <c r="G150" i="7"/>
  <c r="D150" i="7"/>
  <c r="K149" i="7"/>
  <c r="J149" i="7"/>
  <c r="I149" i="7"/>
  <c r="G149" i="7"/>
  <c r="D149" i="7"/>
  <c r="K148" i="7"/>
  <c r="J148" i="7"/>
  <c r="I148" i="7"/>
  <c r="F148" i="7" s="1"/>
  <c r="G148" i="7"/>
  <c r="D148" i="7"/>
  <c r="K147" i="7"/>
  <c r="J147" i="7"/>
  <c r="I147" i="7"/>
  <c r="G147" i="7"/>
  <c r="D147" i="7"/>
  <c r="K146" i="7"/>
  <c r="J146" i="7"/>
  <c r="I146" i="7"/>
  <c r="G146" i="7"/>
  <c r="D146" i="7"/>
  <c r="K145" i="7"/>
  <c r="J145" i="7"/>
  <c r="I145" i="7"/>
  <c r="G145" i="7"/>
  <c r="D145" i="7"/>
  <c r="K144" i="7"/>
  <c r="J144" i="7"/>
  <c r="I144" i="7"/>
  <c r="G144" i="7"/>
  <c r="D144" i="7"/>
  <c r="K143" i="7"/>
  <c r="J143" i="7"/>
  <c r="I143" i="7"/>
  <c r="G143" i="7"/>
  <c r="D143" i="7"/>
  <c r="K142" i="7"/>
  <c r="J142" i="7"/>
  <c r="I142" i="7"/>
  <c r="G142" i="7"/>
  <c r="D142" i="7"/>
  <c r="K141" i="7"/>
  <c r="J141" i="7"/>
  <c r="I141" i="7"/>
  <c r="G141" i="7"/>
  <c r="D141" i="7"/>
  <c r="K140" i="7"/>
  <c r="J140" i="7"/>
  <c r="I140" i="7"/>
  <c r="G140" i="7"/>
  <c r="D140" i="7"/>
  <c r="K139" i="7"/>
  <c r="J139" i="7"/>
  <c r="F139" i="7" s="1"/>
  <c r="I139" i="7"/>
  <c r="G139" i="7"/>
  <c r="D139" i="7"/>
  <c r="K138" i="7"/>
  <c r="J138" i="7"/>
  <c r="I138" i="7"/>
  <c r="G138" i="7"/>
  <c r="D138" i="7"/>
  <c r="K137" i="7"/>
  <c r="J137" i="7"/>
  <c r="I137" i="7"/>
  <c r="G137" i="7"/>
  <c r="D137" i="7"/>
  <c r="K136" i="7"/>
  <c r="J136" i="7"/>
  <c r="I136" i="7"/>
  <c r="G136" i="7"/>
  <c r="D136" i="7"/>
  <c r="K135" i="7"/>
  <c r="J135" i="7"/>
  <c r="I135" i="7"/>
  <c r="G135" i="7"/>
  <c r="D135" i="7"/>
  <c r="K134" i="7"/>
  <c r="J134" i="7"/>
  <c r="I134" i="7"/>
  <c r="G134" i="7"/>
  <c r="D134" i="7"/>
  <c r="K133" i="7"/>
  <c r="J133" i="7"/>
  <c r="I133" i="7"/>
  <c r="G133" i="7"/>
  <c r="D133" i="7"/>
  <c r="K132" i="7"/>
  <c r="J132" i="7"/>
  <c r="I132" i="7"/>
  <c r="G132" i="7"/>
  <c r="D132" i="7"/>
  <c r="K131" i="7"/>
  <c r="J131" i="7"/>
  <c r="I131" i="7"/>
  <c r="G131" i="7"/>
  <c r="D131" i="7"/>
  <c r="K130" i="7"/>
  <c r="J130" i="7"/>
  <c r="I130" i="7"/>
  <c r="G130" i="7"/>
  <c r="D130" i="7"/>
  <c r="K129" i="7"/>
  <c r="J129" i="7"/>
  <c r="I129" i="7"/>
  <c r="G129" i="7"/>
  <c r="D129" i="7"/>
  <c r="K128" i="7"/>
  <c r="J128" i="7"/>
  <c r="I128" i="7"/>
  <c r="F128" i="7" s="1"/>
  <c r="G128" i="7"/>
  <c r="D128" i="7"/>
  <c r="K127" i="7"/>
  <c r="J127" i="7"/>
  <c r="I127" i="7"/>
  <c r="G127" i="7"/>
  <c r="D127" i="7"/>
  <c r="K126" i="7"/>
  <c r="J126" i="7"/>
  <c r="I126" i="7"/>
  <c r="G126" i="7"/>
  <c r="D126" i="7"/>
  <c r="K125" i="7"/>
  <c r="J125" i="7"/>
  <c r="I125" i="7"/>
  <c r="F125" i="7" s="1"/>
  <c r="G125" i="7"/>
  <c r="D125" i="7"/>
  <c r="K124" i="7"/>
  <c r="J124" i="7"/>
  <c r="I124" i="7"/>
  <c r="G124" i="7"/>
  <c r="D124" i="7"/>
  <c r="K123" i="7"/>
  <c r="J123" i="7"/>
  <c r="I123" i="7"/>
  <c r="G123" i="7"/>
  <c r="D123" i="7"/>
  <c r="K122" i="7"/>
  <c r="J122" i="7"/>
  <c r="I122" i="7"/>
  <c r="G122" i="7"/>
  <c r="D122" i="7"/>
  <c r="K121" i="7"/>
  <c r="J121" i="7"/>
  <c r="I121" i="7"/>
  <c r="G121" i="7"/>
  <c r="D121" i="7"/>
  <c r="K120" i="7"/>
  <c r="J120" i="7"/>
  <c r="I120" i="7"/>
  <c r="G120" i="7"/>
  <c r="D120" i="7"/>
  <c r="K119" i="7"/>
  <c r="J119" i="7"/>
  <c r="I119" i="7"/>
  <c r="G119" i="7"/>
  <c r="D119" i="7"/>
  <c r="K118" i="7"/>
  <c r="J118" i="7"/>
  <c r="I118" i="7"/>
  <c r="G118" i="7"/>
  <c r="D118" i="7"/>
  <c r="K117" i="7"/>
  <c r="J117" i="7"/>
  <c r="I117" i="7"/>
  <c r="G117" i="7"/>
  <c r="D117" i="7"/>
  <c r="K116" i="7"/>
  <c r="J116" i="7"/>
  <c r="I116" i="7"/>
  <c r="G116" i="7"/>
  <c r="D116" i="7"/>
  <c r="K115" i="7"/>
  <c r="J115" i="7"/>
  <c r="I115" i="7"/>
  <c r="G115" i="7"/>
  <c r="D115" i="7"/>
  <c r="K114" i="7"/>
  <c r="J114" i="7"/>
  <c r="I114" i="7"/>
  <c r="G114" i="7"/>
  <c r="D114" i="7"/>
  <c r="K113" i="7"/>
  <c r="J113" i="7"/>
  <c r="I113" i="7"/>
  <c r="G113" i="7"/>
  <c r="D113" i="7"/>
  <c r="K112" i="7"/>
  <c r="J112" i="7"/>
  <c r="I112" i="7"/>
  <c r="G112" i="7"/>
  <c r="D112" i="7"/>
  <c r="K111" i="7"/>
  <c r="J111" i="7"/>
  <c r="I111" i="7"/>
  <c r="G111" i="7"/>
  <c r="D111" i="7"/>
  <c r="K110" i="7"/>
  <c r="J110" i="7"/>
  <c r="I110" i="7"/>
  <c r="G110" i="7"/>
  <c r="D110" i="7"/>
  <c r="K109" i="7"/>
  <c r="J109" i="7"/>
  <c r="I109" i="7"/>
  <c r="G109" i="7"/>
  <c r="D109" i="7"/>
  <c r="K108" i="7"/>
  <c r="J108" i="7"/>
  <c r="I108" i="7"/>
  <c r="G108" i="7"/>
  <c r="D108" i="7"/>
  <c r="K107" i="7"/>
  <c r="J107" i="7"/>
  <c r="I107" i="7"/>
  <c r="G107" i="7"/>
  <c r="D107" i="7"/>
  <c r="K106" i="7"/>
  <c r="J106" i="7"/>
  <c r="I106" i="7"/>
  <c r="G106" i="7"/>
  <c r="D106" i="7"/>
  <c r="K105" i="7"/>
  <c r="J105" i="7"/>
  <c r="I105" i="7"/>
  <c r="G105" i="7"/>
  <c r="D105" i="7"/>
  <c r="K104" i="7"/>
  <c r="J104" i="7"/>
  <c r="I104" i="7"/>
  <c r="G104" i="7"/>
  <c r="D104" i="7"/>
  <c r="K103" i="7"/>
  <c r="J103" i="7"/>
  <c r="I103" i="7"/>
  <c r="F103" i="7" s="1"/>
  <c r="G103" i="7"/>
  <c r="D103" i="7"/>
  <c r="K102" i="7"/>
  <c r="J102" i="7"/>
  <c r="I102" i="7"/>
  <c r="G102" i="7"/>
  <c r="D102" i="7"/>
  <c r="K101" i="7"/>
  <c r="J101" i="7"/>
  <c r="I101" i="7"/>
  <c r="G101" i="7"/>
  <c r="D101" i="7"/>
  <c r="K100" i="7"/>
  <c r="J100" i="7"/>
  <c r="I100" i="7"/>
  <c r="G100" i="7"/>
  <c r="D100" i="7"/>
  <c r="K99" i="7"/>
  <c r="J99" i="7"/>
  <c r="I99" i="7"/>
  <c r="G99" i="7"/>
  <c r="D99" i="7"/>
  <c r="K98" i="7"/>
  <c r="J98" i="7"/>
  <c r="I98" i="7"/>
  <c r="G98" i="7"/>
  <c r="D98" i="7"/>
  <c r="K97" i="7"/>
  <c r="J97" i="7"/>
  <c r="I97" i="7"/>
  <c r="G97" i="7"/>
  <c r="D97" i="7"/>
  <c r="K96" i="7"/>
  <c r="J96" i="7"/>
  <c r="I96" i="7"/>
  <c r="F96" i="7" s="1"/>
  <c r="G96" i="7"/>
  <c r="D96" i="7"/>
  <c r="K95" i="7"/>
  <c r="J95" i="7"/>
  <c r="I95" i="7"/>
  <c r="F95" i="7" s="1"/>
  <c r="G95" i="7"/>
  <c r="D95" i="7"/>
  <c r="K94" i="7"/>
  <c r="J94" i="7"/>
  <c r="I94" i="7"/>
  <c r="G94" i="7"/>
  <c r="D94" i="7"/>
  <c r="K93" i="7"/>
  <c r="J93" i="7"/>
  <c r="I93" i="7"/>
  <c r="G93" i="7"/>
  <c r="D93" i="7"/>
  <c r="K92" i="7"/>
  <c r="J92" i="7"/>
  <c r="I92" i="7"/>
  <c r="F92" i="7" s="1"/>
  <c r="G92" i="7"/>
  <c r="D92" i="7"/>
  <c r="K91" i="7"/>
  <c r="J91" i="7"/>
  <c r="I91" i="7"/>
  <c r="G91" i="7"/>
  <c r="D91" i="7"/>
  <c r="K90" i="7"/>
  <c r="J90" i="7"/>
  <c r="I90" i="7"/>
  <c r="G90" i="7"/>
  <c r="D90" i="7"/>
  <c r="K89" i="7"/>
  <c r="J89" i="7"/>
  <c r="I89" i="7"/>
  <c r="G89" i="7"/>
  <c r="D89" i="7"/>
  <c r="K88" i="7"/>
  <c r="J88" i="7"/>
  <c r="I88" i="7"/>
  <c r="F88" i="7" s="1"/>
  <c r="G88" i="7"/>
  <c r="D88" i="7"/>
  <c r="K87" i="7"/>
  <c r="J87" i="7"/>
  <c r="I87" i="7"/>
  <c r="G87" i="7"/>
  <c r="D87" i="7"/>
  <c r="K86" i="7"/>
  <c r="J86" i="7"/>
  <c r="I86" i="7"/>
  <c r="G86" i="7"/>
  <c r="D86" i="7"/>
  <c r="K85" i="7"/>
  <c r="J85" i="7"/>
  <c r="I85" i="7"/>
  <c r="G85" i="7"/>
  <c r="D85" i="7"/>
  <c r="K84" i="7"/>
  <c r="J84" i="7"/>
  <c r="I84" i="7"/>
  <c r="G84" i="7"/>
  <c r="D84" i="7"/>
  <c r="K83" i="7"/>
  <c r="J83" i="7"/>
  <c r="I83" i="7"/>
  <c r="G83" i="7"/>
  <c r="D83" i="7"/>
  <c r="K82" i="7"/>
  <c r="J82" i="7"/>
  <c r="I82" i="7"/>
  <c r="G82" i="7"/>
  <c r="D82" i="7"/>
  <c r="K81" i="7"/>
  <c r="J81" i="7"/>
  <c r="I81" i="7"/>
  <c r="G81" i="7"/>
  <c r="D81" i="7"/>
  <c r="K80" i="7"/>
  <c r="J80" i="7"/>
  <c r="I80" i="7"/>
  <c r="F80" i="7" s="1"/>
  <c r="G80" i="7"/>
  <c r="D80" i="7"/>
  <c r="K79" i="7"/>
  <c r="J79" i="7"/>
  <c r="I79" i="7"/>
  <c r="G79" i="7"/>
  <c r="D79" i="7"/>
  <c r="K78" i="7"/>
  <c r="J78" i="7"/>
  <c r="I78" i="7"/>
  <c r="G78" i="7"/>
  <c r="D78" i="7"/>
  <c r="K77" i="7"/>
  <c r="J77" i="7"/>
  <c r="I77" i="7"/>
  <c r="G77" i="7"/>
  <c r="D77" i="7"/>
  <c r="K76" i="7"/>
  <c r="J76" i="7"/>
  <c r="I76" i="7"/>
  <c r="G76" i="7"/>
  <c r="D76" i="7"/>
  <c r="K75" i="7"/>
  <c r="J75" i="7"/>
  <c r="F75" i="7" s="1"/>
  <c r="I75" i="7"/>
  <c r="G75" i="7"/>
  <c r="D75" i="7"/>
  <c r="K74" i="7"/>
  <c r="J74" i="7"/>
  <c r="I74" i="7"/>
  <c r="G74" i="7"/>
  <c r="D74" i="7"/>
  <c r="K73" i="7"/>
  <c r="J73" i="7"/>
  <c r="I73" i="7"/>
  <c r="G73" i="7"/>
  <c r="D73" i="7"/>
  <c r="K72" i="7"/>
  <c r="J72" i="7"/>
  <c r="I72" i="7"/>
  <c r="F72" i="7" s="1"/>
  <c r="G72" i="7"/>
  <c r="D72" i="7"/>
  <c r="K71" i="7"/>
  <c r="J71" i="7"/>
  <c r="I71" i="7"/>
  <c r="G71" i="7"/>
  <c r="D71" i="7"/>
  <c r="K70" i="7"/>
  <c r="J70" i="7"/>
  <c r="I70" i="7"/>
  <c r="G70" i="7"/>
  <c r="D70" i="7"/>
  <c r="K69" i="7"/>
  <c r="J69" i="7"/>
  <c r="I69" i="7"/>
  <c r="G69" i="7"/>
  <c r="D69" i="7"/>
  <c r="K68" i="7"/>
  <c r="J68" i="7"/>
  <c r="I68" i="7"/>
  <c r="G68" i="7"/>
  <c r="D68" i="7"/>
  <c r="K67" i="7"/>
  <c r="J67" i="7"/>
  <c r="I67" i="7"/>
  <c r="G67" i="7"/>
  <c r="D67" i="7"/>
  <c r="K66" i="7"/>
  <c r="J66" i="7"/>
  <c r="I66" i="7"/>
  <c r="G66" i="7"/>
  <c r="D66" i="7"/>
  <c r="K65" i="7"/>
  <c r="J65" i="7"/>
  <c r="I65" i="7"/>
  <c r="G65" i="7"/>
  <c r="D65" i="7"/>
  <c r="K64" i="7"/>
  <c r="J64" i="7"/>
  <c r="I64" i="7"/>
  <c r="G64" i="7"/>
  <c r="D64" i="7"/>
  <c r="K63" i="7"/>
  <c r="J63" i="7"/>
  <c r="I63" i="7"/>
  <c r="G63" i="7"/>
  <c r="D63" i="7"/>
  <c r="K62" i="7"/>
  <c r="J62" i="7"/>
  <c r="I62" i="7"/>
  <c r="G62" i="7"/>
  <c r="D62" i="7"/>
  <c r="K61" i="7"/>
  <c r="J61" i="7"/>
  <c r="I61" i="7"/>
  <c r="G61" i="7"/>
  <c r="D61" i="7"/>
  <c r="K60" i="7"/>
  <c r="J60" i="7"/>
  <c r="I60" i="7"/>
  <c r="G60" i="7"/>
  <c r="D60" i="7"/>
  <c r="K59" i="7"/>
  <c r="J59" i="7"/>
  <c r="I59" i="7"/>
  <c r="G59" i="7"/>
  <c r="D59" i="7"/>
  <c r="K58" i="7"/>
  <c r="J58" i="7"/>
  <c r="I58" i="7"/>
  <c r="G58" i="7"/>
  <c r="D58" i="7"/>
  <c r="K57" i="7"/>
  <c r="J57" i="7"/>
  <c r="I57" i="7"/>
  <c r="G57" i="7"/>
  <c r="D57" i="7"/>
  <c r="K56" i="7"/>
  <c r="J56" i="7"/>
  <c r="I56" i="7"/>
  <c r="G56" i="7"/>
  <c r="D56" i="7"/>
  <c r="K55" i="7"/>
  <c r="J55" i="7"/>
  <c r="I55" i="7"/>
  <c r="F55" i="7" s="1"/>
  <c r="G55" i="7"/>
  <c r="D55" i="7"/>
  <c r="K54" i="7"/>
  <c r="J54" i="7"/>
  <c r="I54" i="7"/>
  <c r="G54" i="7"/>
  <c r="D54" i="7"/>
  <c r="K53" i="7"/>
  <c r="J53" i="7"/>
  <c r="I53" i="7"/>
  <c r="G53" i="7"/>
  <c r="D53" i="7"/>
  <c r="K52" i="7"/>
  <c r="J52" i="7"/>
  <c r="I52" i="7"/>
  <c r="G52" i="7"/>
  <c r="D52" i="7"/>
  <c r="K51" i="7"/>
  <c r="J51" i="7"/>
  <c r="I51" i="7"/>
  <c r="G51" i="7"/>
  <c r="D51" i="7"/>
  <c r="K50" i="7"/>
  <c r="J50" i="7"/>
  <c r="I50" i="7"/>
  <c r="G50" i="7"/>
  <c r="D50" i="7"/>
  <c r="K49" i="7"/>
  <c r="J49" i="7"/>
  <c r="I49" i="7"/>
  <c r="G49" i="7"/>
  <c r="D49" i="7"/>
  <c r="K48" i="7"/>
  <c r="J48" i="7"/>
  <c r="I48" i="7"/>
  <c r="G48" i="7"/>
  <c r="D48" i="7"/>
  <c r="K47" i="7"/>
  <c r="J47" i="7"/>
  <c r="I47" i="7"/>
  <c r="F47" i="7" s="1"/>
  <c r="G47" i="7"/>
  <c r="D47" i="7"/>
  <c r="K46" i="7"/>
  <c r="J46" i="7"/>
  <c r="I46" i="7"/>
  <c r="G46" i="7"/>
  <c r="D46" i="7"/>
  <c r="K45" i="7"/>
  <c r="J45" i="7"/>
  <c r="I45" i="7"/>
  <c r="G45" i="7"/>
  <c r="D45" i="7"/>
  <c r="K44" i="7"/>
  <c r="J44" i="7"/>
  <c r="I44" i="7"/>
  <c r="G44" i="7"/>
  <c r="D44" i="7"/>
  <c r="K43" i="7"/>
  <c r="J43" i="7"/>
  <c r="I43" i="7"/>
  <c r="G43" i="7"/>
  <c r="D43" i="7"/>
  <c r="K42" i="7"/>
  <c r="J42" i="7"/>
  <c r="I42" i="7"/>
  <c r="G42" i="7"/>
  <c r="D42" i="7"/>
  <c r="K41" i="7"/>
  <c r="J41" i="7"/>
  <c r="I41" i="7"/>
  <c r="G41" i="7"/>
  <c r="D41" i="7"/>
  <c r="K40" i="7"/>
  <c r="J40" i="7"/>
  <c r="I40" i="7"/>
  <c r="G40" i="7"/>
  <c r="D40" i="7"/>
  <c r="K39" i="7"/>
  <c r="J39" i="7"/>
  <c r="I39" i="7"/>
  <c r="G39" i="7"/>
  <c r="D39" i="7"/>
  <c r="K38" i="7"/>
  <c r="J38" i="7"/>
  <c r="I38" i="7"/>
  <c r="G38" i="7"/>
  <c r="D38" i="7"/>
  <c r="K37" i="7"/>
  <c r="J37" i="7"/>
  <c r="I37" i="7"/>
  <c r="G37" i="7"/>
  <c r="D37" i="7"/>
  <c r="K36" i="7"/>
  <c r="J36" i="7"/>
  <c r="I36" i="7"/>
  <c r="G36" i="7"/>
  <c r="D36" i="7"/>
  <c r="K35" i="7"/>
  <c r="J35" i="7"/>
  <c r="I35" i="7"/>
  <c r="G35" i="7"/>
  <c r="D35" i="7"/>
  <c r="K34" i="7"/>
  <c r="J34" i="7"/>
  <c r="I34" i="7"/>
  <c r="G34" i="7"/>
  <c r="D34" i="7"/>
  <c r="K33" i="7"/>
  <c r="J33" i="7"/>
  <c r="I33" i="7"/>
  <c r="G33" i="7"/>
  <c r="D33" i="7"/>
  <c r="K32" i="7"/>
  <c r="J32" i="7"/>
  <c r="I32" i="7"/>
  <c r="F32" i="7" s="1"/>
  <c r="G32" i="7"/>
  <c r="D32" i="7"/>
  <c r="K31" i="7"/>
  <c r="J31" i="7"/>
  <c r="I31" i="7"/>
  <c r="G31" i="7"/>
  <c r="D31" i="7"/>
  <c r="K30" i="7"/>
  <c r="J30" i="7"/>
  <c r="I30" i="7"/>
  <c r="G30" i="7"/>
  <c r="D30" i="7"/>
  <c r="K29" i="7"/>
  <c r="J29" i="7"/>
  <c r="I29" i="7"/>
  <c r="G29" i="7"/>
  <c r="D29" i="7"/>
  <c r="K28" i="7"/>
  <c r="J28" i="7"/>
  <c r="I28" i="7"/>
  <c r="G28" i="7"/>
  <c r="D28" i="7"/>
  <c r="K27" i="7"/>
  <c r="J27" i="7"/>
  <c r="I27" i="7"/>
  <c r="G27" i="7"/>
  <c r="D27" i="7"/>
  <c r="K26" i="7"/>
  <c r="J26" i="7"/>
  <c r="I26" i="7"/>
  <c r="G26" i="7"/>
  <c r="D26" i="7"/>
  <c r="K25" i="7"/>
  <c r="J25" i="7"/>
  <c r="I25" i="7"/>
  <c r="G25" i="7"/>
  <c r="D25" i="7"/>
  <c r="K24" i="7"/>
  <c r="J24" i="7"/>
  <c r="I24" i="7"/>
  <c r="G24" i="7"/>
  <c r="D24" i="7"/>
  <c r="K23" i="7"/>
  <c r="J23" i="7"/>
  <c r="I23" i="7"/>
  <c r="G23" i="7"/>
  <c r="D23" i="7"/>
  <c r="K22" i="7"/>
  <c r="J22" i="7"/>
  <c r="I22" i="7"/>
  <c r="G22" i="7"/>
  <c r="D22" i="7"/>
  <c r="K21" i="7"/>
  <c r="J21" i="7"/>
  <c r="I21" i="7"/>
  <c r="F21" i="7" s="1"/>
  <c r="G21" i="7"/>
  <c r="D21" i="7"/>
  <c r="F16" i="7"/>
  <c r="H16" i="7" s="1"/>
  <c r="F15" i="7"/>
  <c r="H15" i="7" s="1"/>
  <c r="F14" i="7"/>
  <c r="H14" i="7" s="1"/>
  <c r="F13" i="7"/>
  <c r="H13" i="7" s="1"/>
  <c r="F12" i="7"/>
  <c r="H12" i="7" s="1"/>
  <c r="F11" i="7"/>
  <c r="H11" i="7" s="1"/>
  <c r="F10" i="7"/>
  <c r="G10" i="7" s="1"/>
  <c r="F9" i="7"/>
  <c r="G9" i="7" s="1"/>
  <c r="F8" i="7"/>
  <c r="H8" i="7" s="1"/>
  <c r="F7" i="7"/>
  <c r="H7" i="7" s="1"/>
  <c r="F6" i="7"/>
  <c r="H6" i="7" s="1"/>
  <c r="F5" i="7"/>
  <c r="G5" i="7" s="1"/>
  <c r="K6" i="5"/>
  <c r="G31" i="4"/>
  <c r="C31" i="4"/>
  <c r="M31" i="4" s="1"/>
  <c r="G30" i="4"/>
  <c r="C30" i="4"/>
  <c r="N30" i="4" s="1"/>
  <c r="G29" i="4"/>
  <c r="C29" i="4"/>
  <c r="K29" i="4" s="1"/>
  <c r="G28" i="4"/>
  <c r="C28" i="4"/>
  <c r="O28" i="4" s="1"/>
  <c r="G27" i="4"/>
  <c r="C27" i="4"/>
  <c r="N27" i="4" s="1"/>
  <c r="G26" i="4"/>
  <c r="C26" i="4"/>
  <c r="M26" i="4" s="1"/>
  <c r="G25" i="4"/>
  <c r="C25" i="4"/>
  <c r="N25" i="4" s="1"/>
  <c r="G24" i="4"/>
  <c r="C24" i="4"/>
  <c r="M24" i="4" s="1"/>
  <c r="G23" i="4"/>
  <c r="C23" i="4"/>
  <c r="M23" i="4" s="1"/>
  <c r="G22" i="4"/>
  <c r="C22" i="4"/>
  <c r="O22" i="4" s="1"/>
  <c r="G21" i="4"/>
  <c r="C21" i="4"/>
  <c r="K21" i="4" s="1"/>
  <c r="G20" i="4"/>
  <c r="C20" i="4"/>
  <c r="O20" i="4" s="1"/>
  <c r="O19" i="4"/>
  <c r="G19" i="4"/>
  <c r="C19" i="4"/>
  <c r="N19" i="4" s="1"/>
  <c r="G18" i="4"/>
  <c r="C18" i="4"/>
  <c r="M18" i="4" s="1"/>
  <c r="G17" i="4"/>
  <c r="C17" i="4"/>
  <c r="N17" i="4" s="1"/>
  <c r="G16" i="4"/>
  <c r="C16" i="4"/>
  <c r="L16" i="4" s="1"/>
  <c r="C15" i="16" s="1"/>
  <c r="G15" i="4"/>
  <c r="C15" i="4"/>
  <c r="M15" i="4" s="1"/>
  <c r="O14" i="4"/>
  <c r="N14" i="4"/>
  <c r="K14" i="4"/>
  <c r="G14" i="4"/>
  <c r="C14" i="4"/>
  <c r="M14" i="4" s="1"/>
  <c r="G13" i="4"/>
  <c r="C13" i="4"/>
  <c r="K13" i="4" s="1"/>
  <c r="G12" i="4"/>
  <c r="C12" i="4"/>
  <c r="O12" i="4" s="1"/>
  <c r="O11" i="4"/>
  <c r="L11" i="4"/>
  <c r="G11" i="4"/>
  <c r="C11" i="4"/>
  <c r="N11" i="4" s="1"/>
  <c r="G10" i="4"/>
  <c r="C10" i="4"/>
  <c r="M10" i="4" s="1"/>
  <c r="O9" i="4"/>
  <c r="K9" i="4"/>
  <c r="G9" i="4"/>
  <c r="C9" i="4"/>
  <c r="M9" i="4" s="1"/>
  <c r="G8" i="4"/>
  <c r="C8" i="4"/>
  <c r="M8" i="4" s="1"/>
  <c r="G7" i="4"/>
  <c r="C7" i="4"/>
  <c r="B7" i="4"/>
  <c r="G6" i="4"/>
  <c r="C6" i="4"/>
  <c r="N6" i="4" s="1"/>
  <c r="B6" i="4"/>
  <c r="G5" i="4"/>
  <c r="C5" i="4"/>
  <c r="N5" i="4" s="1"/>
  <c r="B5" i="4"/>
  <c r="B19" i="3"/>
  <c r="C19" i="3" s="1"/>
  <c r="B13" i="3"/>
  <c r="B15" i="3" s="1"/>
  <c r="S22" i="2"/>
  <c r="F12" i="9" s="1"/>
  <c r="G8" i="15" s="1"/>
  <c r="I42" i="18" s="1"/>
  <c r="N42" i="18" s="1"/>
  <c r="P22" i="2"/>
  <c r="Q22" i="2" s="1"/>
  <c r="N22" i="2"/>
  <c r="S21" i="2"/>
  <c r="F9" i="9" s="1"/>
  <c r="G7" i="15" s="1"/>
  <c r="P21" i="2"/>
  <c r="Q21" i="2" s="1"/>
  <c r="N21" i="2"/>
  <c r="B12" i="12" s="1"/>
  <c r="S20" i="2"/>
  <c r="F6" i="9" s="1"/>
  <c r="G6" i="15" s="1"/>
  <c r="I20" i="18" s="1"/>
  <c r="N20" i="18" s="1"/>
  <c r="P20" i="2"/>
  <c r="Q20" i="2" s="1"/>
  <c r="N20" i="2"/>
  <c r="F24" i="7" l="1"/>
  <c r="F91" i="7"/>
  <c r="F110" i="7"/>
  <c r="F115" i="7"/>
  <c r="F142" i="7"/>
  <c r="F166" i="7"/>
  <c r="F174" i="7"/>
  <c r="H18" i="14"/>
  <c r="F21" i="14"/>
  <c r="B14" i="3"/>
  <c r="B17" i="3" s="1"/>
  <c r="F27" i="5" s="1"/>
  <c r="K22" i="4"/>
  <c r="F120" i="7"/>
  <c r="K20" i="4"/>
  <c r="L22" i="4"/>
  <c r="C21" i="16" s="1"/>
  <c r="O29" i="4"/>
  <c r="F31" i="7"/>
  <c r="F187" i="7"/>
  <c r="F213" i="7"/>
  <c r="F245" i="7"/>
  <c r="I5" i="8"/>
  <c r="M19" i="13"/>
  <c r="H5" i="7"/>
  <c r="O26" i="4"/>
  <c r="H14" i="13"/>
  <c r="M20" i="4"/>
  <c r="G7" i="7"/>
  <c r="F14" i="12"/>
  <c r="L14" i="13"/>
  <c r="L27" i="13"/>
  <c r="L33" i="13"/>
  <c r="K11" i="15"/>
  <c r="I79" i="18" s="1"/>
  <c r="N79" i="18" s="1"/>
  <c r="F71" i="7"/>
  <c r="F74" i="7"/>
  <c r="K5" i="4"/>
  <c r="K19" i="4"/>
  <c r="F63" i="7"/>
  <c r="F191" i="7"/>
  <c r="F196" i="7"/>
  <c r="F199" i="7"/>
  <c r="F212" i="7"/>
  <c r="F255" i="7"/>
  <c r="F260" i="7"/>
  <c r="H16" i="13"/>
  <c r="G22" i="13"/>
  <c r="M27" i="13"/>
  <c r="M33" i="13"/>
  <c r="L12" i="4"/>
  <c r="C11" i="16" s="1"/>
  <c r="O10" i="4"/>
  <c r="U34" i="16" s="1"/>
  <c r="Q35" i="15" s="1"/>
  <c r="L19" i="4"/>
  <c r="C18" i="16" s="1"/>
  <c r="O21" i="4"/>
  <c r="F38" i="7"/>
  <c r="F46" i="7"/>
  <c r="F102" i="7"/>
  <c r="F185" i="7"/>
  <c r="F201" i="7"/>
  <c r="H22" i="13"/>
  <c r="L35" i="13"/>
  <c r="G18" i="14"/>
  <c r="F22" i="14"/>
  <c r="I57" i="18"/>
  <c r="N57" i="18" s="1"/>
  <c r="K15" i="13"/>
  <c r="F50" i="7"/>
  <c r="N22" i="4"/>
  <c r="F39" i="7"/>
  <c r="F42" i="7"/>
  <c r="F44" i="7"/>
  <c r="F60" i="7"/>
  <c r="F104" i="7"/>
  <c r="F107" i="7"/>
  <c r="F134" i="7"/>
  <c r="F175" i="7"/>
  <c r="F178" i="7"/>
  <c r="F186" i="7"/>
  <c r="K30" i="10"/>
  <c r="M14" i="13"/>
  <c r="H19" i="13"/>
  <c r="G23" i="14"/>
  <c r="T6" i="16"/>
  <c r="K11" i="4"/>
  <c r="N26" i="4"/>
  <c r="N29" i="4"/>
  <c r="F82" i="7"/>
  <c r="F117" i="7"/>
  <c r="F131" i="7"/>
  <c r="F167" i="7"/>
  <c r="F170" i="7"/>
  <c r="F172" i="7"/>
  <c r="F210" i="7"/>
  <c r="F218" i="7"/>
  <c r="K29" i="10"/>
  <c r="E29" i="14"/>
  <c r="K38" i="10"/>
  <c r="I14" i="14" s="1"/>
  <c r="K12" i="15"/>
  <c r="E26" i="14"/>
  <c r="F252" i="7"/>
  <c r="L14" i="4"/>
  <c r="C13" i="16" s="1"/>
  <c r="C14" i="15" s="1"/>
  <c r="G6" i="7"/>
  <c r="F70" i="7"/>
  <c r="F78" i="7"/>
  <c r="F127" i="7"/>
  <c r="I6" i="8"/>
  <c r="L38" i="10"/>
  <c r="J14" i="14" s="1"/>
  <c r="F5" i="12"/>
  <c r="F236" i="7"/>
  <c r="U21" i="16"/>
  <c r="Q22" i="15" s="1"/>
  <c r="F56" i="7"/>
  <c r="F59" i="7"/>
  <c r="F97" i="7"/>
  <c r="F149" i="7"/>
  <c r="T5" i="16"/>
  <c r="T24" i="16"/>
  <c r="P25" i="15" s="1"/>
  <c r="O30" i="4"/>
  <c r="G13" i="7"/>
  <c r="F23" i="7"/>
  <c r="F64" i="7"/>
  <c r="F83" i="7"/>
  <c r="F135" i="7"/>
  <c r="F203" i="7"/>
  <c r="F214" i="7"/>
  <c r="F235" i="7"/>
  <c r="F246" i="7"/>
  <c r="F251" i="7"/>
  <c r="P5" i="8"/>
  <c r="H7" i="14"/>
  <c r="G18" i="13"/>
  <c r="H21" i="13"/>
  <c r="M29" i="13"/>
  <c r="E27" i="14"/>
  <c r="F140" i="7"/>
  <c r="F143" i="7"/>
  <c r="F146" i="7"/>
  <c r="F151" i="7"/>
  <c r="F195" i="7"/>
  <c r="F219" i="7"/>
  <c r="F224" i="7"/>
  <c r="F227" i="7"/>
  <c r="F232" i="7"/>
  <c r="G27" i="13"/>
  <c r="L9" i="4"/>
  <c r="C9" i="16" s="1"/>
  <c r="T18" i="16"/>
  <c r="P19" i="15" s="1"/>
  <c r="U28" i="16"/>
  <c r="Q29" i="15" s="1"/>
  <c r="S30" i="16"/>
  <c r="O31" i="15" s="1"/>
  <c r="G14" i="7"/>
  <c r="F29" i="7"/>
  <c r="F35" i="7"/>
  <c r="F52" i="7"/>
  <c r="F58" i="7"/>
  <c r="F98" i="7"/>
  <c r="F112" i="7"/>
  <c r="F118" i="7"/>
  <c r="F123" i="7"/>
  <c r="F126" i="7"/>
  <c r="F129" i="7"/>
  <c r="F132" i="7"/>
  <c r="F157" i="7"/>
  <c r="F163" i="7"/>
  <c r="F180" i="7"/>
  <c r="F183" i="7"/>
  <c r="F194" i="7"/>
  <c r="F202" i="7"/>
  <c r="F229" i="7"/>
  <c r="F240" i="7"/>
  <c r="F243" i="7"/>
  <c r="F248" i="7"/>
  <c r="F22" i="10"/>
  <c r="E14" i="14" s="1"/>
  <c r="L28" i="10"/>
  <c r="L29" i="10"/>
  <c r="L30" i="10"/>
  <c r="H23" i="13"/>
  <c r="M26" i="13"/>
  <c r="G29" i="13"/>
  <c r="G35" i="13"/>
  <c r="K17" i="15"/>
  <c r="F20" i="14"/>
  <c r="M31" i="14"/>
  <c r="U9" i="16"/>
  <c r="Q10" i="15" s="1"/>
  <c r="S19" i="16"/>
  <c r="O20" i="15" s="1"/>
  <c r="K23" i="4"/>
  <c r="K25" i="4"/>
  <c r="K28" i="4"/>
  <c r="F138" i="7"/>
  <c r="L28" i="14"/>
  <c r="H24" i="13"/>
  <c r="K14" i="15"/>
  <c r="T16" i="16"/>
  <c r="P17" i="15" s="1"/>
  <c r="R147" i="18" s="1"/>
  <c r="N23" i="4"/>
  <c r="M25" i="4"/>
  <c r="L28" i="4"/>
  <c r="G12" i="7"/>
  <c r="F26" i="7"/>
  <c r="F66" i="7"/>
  <c r="F86" i="7"/>
  <c r="F94" i="7"/>
  <c r="F100" i="7"/>
  <c r="F154" i="7"/>
  <c r="F188" i="7"/>
  <c r="F207" i="7"/>
  <c r="F215" i="7"/>
  <c r="F226" i="7"/>
  <c r="F234" i="7"/>
  <c r="M21" i="8"/>
  <c r="E11" i="11"/>
  <c r="H15" i="13"/>
  <c r="G21" i="13"/>
  <c r="E6" i="16"/>
  <c r="I32" i="18"/>
  <c r="N32" i="18" s="1"/>
  <c r="U38" i="18"/>
  <c r="L13" i="4"/>
  <c r="T13" i="16"/>
  <c r="P14" i="15" s="1"/>
  <c r="O23" i="4"/>
  <c r="K27" i="4"/>
  <c r="N28" i="4"/>
  <c r="K30" i="4"/>
  <c r="G8" i="7"/>
  <c r="G16" i="7"/>
  <c r="F28" i="7"/>
  <c r="F40" i="7"/>
  <c r="F43" i="7"/>
  <c r="F51" i="7"/>
  <c r="F85" i="7"/>
  <c r="F106" i="7"/>
  <c r="F108" i="7"/>
  <c r="F111" i="7"/>
  <c r="F114" i="7"/>
  <c r="F119" i="7"/>
  <c r="F156" i="7"/>
  <c r="F168" i="7"/>
  <c r="F171" i="7"/>
  <c r="F179" i="7"/>
  <c r="F182" i="7"/>
  <c r="F204" i="7"/>
  <c r="F217" i="7"/>
  <c r="F223" i="7"/>
  <c r="F228" i="7"/>
  <c r="F231" i="7"/>
  <c r="F242" i="7"/>
  <c r="F250" i="7"/>
  <c r="F256" i="7"/>
  <c r="F259" i="7"/>
  <c r="K16" i="15"/>
  <c r="G22" i="14"/>
  <c r="M29" i="14"/>
  <c r="E10" i="16"/>
  <c r="U68" i="18"/>
  <c r="K6" i="4"/>
  <c r="L8" i="4"/>
  <c r="K10" i="4"/>
  <c r="M11" i="4"/>
  <c r="M13" i="4"/>
  <c r="S12" i="16" s="1"/>
  <c r="K17" i="4"/>
  <c r="M19" i="4"/>
  <c r="L21" i="4"/>
  <c r="M20" i="8" s="1"/>
  <c r="M22" i="4"/>
  <c r="L27" i="4"/>
  <c r="C26" i="16" s="1"/>
  <c r="L30" i="4"/>
  <c r="F34" i="7"/>
  <c r="F48" i="7"/>
  <c r="F54" i="7"/>
  <c r="F62" i="7"/>
  <c r="F65" i="7"/>
  <c r="F68" i="7"/>
  <c r="F93" i="7"/>
  <c r="F99" i="7"/>
  <c r="F116" i="7"/>
  <c r="F122" i="7"/>
  <c r="F162" i="7"/>
  <c r="F176" i="7"/>
  <c r="F184" i="7"/>
  <c r="F198" i="7"/>
  <c r="F220" i="7"/>
  <c r="F233" i="7"/>
  <c r="F239" i="7"/>
  <c r="F244" i="7"/>
  <c r="F247" i="7"/>
  <c r="G6" i="14"/>
  <c r="D9" i="12"/>
  <c r="G28" i="13"/>
  <c r="L30" i="13"/>
  <c r="K13" i="15"/>
  <c r="K30" i="15"/>
  <c r="I288" i="18" s="1"/>
  <c r="N288" i="18" s="1"/>
  <c r="K32" i="15"/>
  <c r="I310" i="18" s="1"/>
  <c r="N310" i="18" s="1"/>
  <c r="F19" i="14"/>
  <c r="Q11" i="16"/>
  <c r="I218" i="18"/>
  <c r="N218" i="18" s="1"/>
  <c r="M6" i="4"/>
  <c r="L10" i="4"/>
  <c r="C34" i="16" s="1"/>
  <c r="C35" i="15" s="1"/>
  <c r="O13" i="4"/>
  <c r="U12" i="16" s="1"/>
  <c r="Q13" i="15" s="1"/>
  <c r="S14" i="16"/>
  <c r="O15" i="15" s="1"/>
  <c r="Q119" i="18" s="1"/>
  <c r="M17" i="4"/>
  <c r="S16" i="16" s="1"/>
  <c r="O17" i="15" s="1"/>
  <c r="Q143" i="18" s="1"/>
  <c r="M21" i="4"/>
  <c r="S20" i="16" s="1"/>
  <c r="O21" i="15" s="1"/>
  <c r="M27" i="4"/>
  <c r="M30" i="4"/>
  <c r="F53" i="7"/>
  <c r="F76" i="7"/>
  <c r="F79" i="7"/>
  <c r="F87" i="7"/>
  <c r="F124" i="7"/>
  <c r="F136" i="7"/>
  <c r="F147" i="7"/>
  <c r="F181" i="7"/>
  <c r="F192" i="7"/>
  <c r="F200" i="7"/>
  <c r="F249" i="7"/>
  <c r="M18" i="8"/>
  <c r="E9" i="11"/>
  <c r="H21" i="14"/>
  <c r="G16" i="13"/>
  <c r="G26" i="13"/>
  <c r="M30" i="13"/>
  <c r="K10" i="15"/>
  <c r="G19" i="14"/>
  <c r="E44" i="14"/>
  <c r="F25" i="16"/>
  <c r="N10" i="4"/>
  <c r="S17" i="16"/>
  <c r="O18" i="15" s="1"/>
  <c r="N21" i="4"/>
  <c r="T20" i="16" s="1"/>
  <c r="P21" i="15" s="1"/>
  <c r="R188" i="18" s="1"/>
  <c r="K26" i="4"/>
  <c r="O27" i="4"/>
  <c r="M29" i="4"/>
  <c r="H9" i="7"/>
  <c r="F22" i="7"/>
  <c r="F27" i="7"/>
  <c r="F30" i="7"/>
  <c r="F33" i="7"/>
  <c r="F36" i="7"/>
  <c r="F61" i="7"/>
  <c r="F67" i="7"/>
  <c r="F84" i="7"/>
  <c r="F90" i="7"/>
  <c r="F130" i="7"/>
  <c r="F144" i="7"/>
  <c r="F150" i="7"/>
  <c r="F155" i="7"/>
  <c r="F158" i="7"/>
  <c r="F161" i="7"/>
  <c r="F164" i="7"/>
  <c r="F197" i="7"/>
  <c r="F208" i="7"/>
  <c r="F211" i="7"/>
  <c r="F216" i="7"/>
  <c r="F230" i="7"/>
  <c r="F258" i="7"/>
  <c r="E31" i="14"/>
  <c r="L22" i="13"/>
  <c r="L28" i="13"/>
  <c r="G34" i="13"/>
  <c r="K15" i="15"/>
  <c r="I123" i="18" s="1"/>
  <c r="N123" i="18" s="1"/>
  <c r="G21" i="14"/>
  <c r="F23" i="14"/>
  <c r="B18" i="3"/>
  <c r="F28" i="5" s="1"/>
  <c r="P20" i="16" s="1"/>
  <c r="B16" i="3"/>
  <c r="B14" i="2" s="1"/>
  <c r="B16" i="2" s="1"/>
  <c r="P22" i="16"/>
  <c r="P17" i="16"/>
  <c r="F16" i="6"/>
  <c r="H16" i="6" s="1"/>
  <c r="B15" i="12" s="1"/>
  <c r="R144" i="18"/>
  <c r="R146" i="18"/>
  <c r="R138" i="18"/>
  <c r="R143" i="18"/>
  <c r="R139" i="18"/>
  <c r="R145" i="18"/>
  <c r="R137" i="18"/>
  <c r="R141" i="18"/>
  <c r="R140" i="18"/>
  <c r="Q115" i="18"/>
  <c r="Q120" i="18"/>
  <c r="Q139" i="18"/>
  <c r="Q144" i="18"/>
  <c r="Q141" i="18"/>
  <c r="Q140" i="18"/>
  <c r="Q142" i="18"/>
  <c r="I31" i="18"/>
  <c r="N31" i="18" s="1"/>
  <c r="G13" i="13"/>
  <c r="O7" i="4"/>
  <c r="U7" i="16" s="1"/>
  <c r="Q8" i="15" s="1"/>
  <c r="L7" i="4"/>
  <c r="M8" i="8"/>
  <c r="C8" i="16"/>
  <c r="C12" i="15"/>
  <c r="C16" i="15"/>
  <c r="O5" i="4"/>
  <c r="U5" i="16" s="1"/>
  <c r="Q6" i="15" s="1"/>
  <c r="L5" i="4"/>
  <c r="N7" i="4"/>
  <c r="T7" i="16" s="1"/>
  <c r="U10" i="16"/>
  <c r="Q11" i="15" s="1"/>
  <c r="I104" i="18"/>
  <c r="N104" i="18" s="1"/>
  <c r="C21" i="13"/>
  <c r="N15" i="4"/>
  <c r="T14" i="16" s="1"/>
  <c r="P15" i="15" s="1"/>
  <c r="N18" i="4"/>
  <c r="T17" i="16" s="1"/>
  <c r="P18" i="15" s="1"/>
  <c r="U19" i="16"/>
  <c r="Q20" i="15" s="1"/>
  <c r="C20" i="16"/>
  <c r="S21" i="16"/>
  <c r="O22" i="15" s="1"/>
  <c r="U22" i="16"/>
  <c r="Q23" i="15" s="1"/>
  <c r="U25" i="16"/>
  <c r="Q26" i="15" s="1"/>
  <c r="S28" i="16"/>
  <c r="O29" i="15" s="1"/>
  <c r="T29" i="16"/>
  <c r="P30" i="15" s="1"/>
  <c r="F37" i="7"/>
  <c r="F69" i="7"/>
  <c r="F101" i="7"/>
  <c r="F133" i="7"/>
  <c r="F165" i="7"/>
  <c r="F189" i="7"/>
  <c r="F205" i="7"/>
  <c r="F221" i="7"/>
  <c r="F237" i="7"/>
  <c r="F253" i="7"/>
  <c r="M11" i="8"/>
  <c r="G5" i="15"/>
  <c r="I80" i="18"/>
  <c r="M18" i="13"/>
  <c r="L18" i="13"/>
  <c r="F12" i="12"/>
  <c r="D12" i="12"/>
  <c r="S6" i="16"/>
  <c r="O7" i="15" s="1"/>
  <c r="S8" i="16"/>
  <c r="O9" i="15" s="1"/>
  <c r="T34" i="16"/>
  <c r="P35" i="15" s="1"/>
  <c r="U11" i="16"/>
  <c r="Q12" i="15" s="1"/>
  <c r="M12" i="8"/>
  <c r="C12" i="16"/>
  <c r="S13" i="16"/>
  <c r="O15" i="4"/>
  <c r="U14" i="16" s="1"/>
  <c r="Q15" i="15" s="1"/>
  <c r="O18" i="4"/>
  <c r="U17" i="16" s="1"/>
  <c r="Q18" i="15" s="1"/>
  <c r="T21" i="16"/>
  <c r="P22" i="15" s="1"/>
  <c r="N24" i="4"/>
  <c r="T23" i="16" s="1"/>
  <c r="P24" i="15" s="1"/>
  <c r="K24" i="4"/>
  <c r="S24" i="16"/>
  <c r="O25" i="15" s="1"/>
  <c r="T26" i="16"/>
  <c r="P27" i="15" s="1"/>
  <c r="T28" i="16"/>
  <c r="P29" i="15" s="1"/>
  <c r="U29" i="16"/>
  <c r="Q30" i="15" s="1"/>
  <c r="H10" i="7"/>
  <c r="G12" i="13"/>
  <c r="I68" i="18"/>
  <c r="N68" i="18" s="1"/>
  <c r="K16" i="13"/>
  <c r="F30" i="14"/>
  <c r="F29" i="14"/>
  <c r="F31" i="14"/>
  <c r="P7" i="15"/>
  <c r="R107" i="18"/>
  <c r="R112" i="18"/>
  <c r="R104" i="18"/>
  <c r="R110" i="18"/>
  <c r="R114" i="18"/>
  <c r="R108" i="18"/>
  <c r="R106" i="18"/>
  <c r="R105" i="18"/>
  <c r="R111" i="18"/>
  <c r="R113" i="18"/>
  <c r="R109" i="18"/>
  <c r="N16" i="4"/>
  <c r="T15" i="16" s="1"/>
  <c r="P16" i="15" s="1"/>
  <c r="K16" i="4"/>
  <c r="R163" i="18"/>
  <c r="R168" i="18"/>
  <c r="R160" i="18"/>
  <c r="R165" i="18"/>
  <c r="R162" i="18"/>
  <c r="R167" i="18"/>
  <c r="R159" i="18"/>
  <c r="R169" i="18"/>
  <c r="R164" i="18"/>
  <c r="R161" i="18"/>
  <c r="R166" i="18"/>
  <c r="R235" i="18"/>
  <c r="R227" i="18"/>
  <c r="R234" i="18"/>
  <c r="R230" i="18"/>
  <c r="R229" i="18"/>
  <c r="R225" i="18"/>
  <c r="R233" i="18"/>
  <c r="R232" i="18"/>
  <c r="R231" i="18"/>
  <c r="R228" i="18"/>
  <c r="R226" i="18"/>
  <c r="C27" i="16"/>
  <c r="M27" i="8"/>
  <c r="S279" i="18"/>
  <c r="S271" i="18"/>
  <c r="S276" i="18"/>
  <c r="S273" i="18"/>
  <c r="S275" i="18"/>
  <c r="S278" i="18"/>
  <c r="S270" i="18"/>
  <c r="S277" i="18"/>
  <c r="S274" i="18"/>
  <c r="S272" i="18"/>
  <c r="S269" i="18"/>
  <c r="G14" i="13"/>
  <c r="C10" i="15"/>
  <c r="R187" i="18"/>
  <c r="R184" i="18"/>
  <c r="R189" i="18"/>
  <c r="R186" i="18"/>
  <c r="R183" i="18"/>
  <c r="R185" i="18"/>
  <c r="R190" i="18"/>
  <c r="R182" i="18"/>
  <c r="S200" i="18"/>
  <c r="S192" i="18"/>
  <c r="S197" i="18"/>
  <c r="S194" i="18"/>
  <c r="S199" i="18"/>
  <c r="S202" i="18"/>
  <c r="S196" i="18"/>
  <c r="S193" i="18"/>
  <c r="S198" i="18"/>
  <c r="S201" i="18"/>
  <c r="S195" i="18"/>
  <c r="Q301" i="18"/>
  <c r="Q293" i="18"/>
  <c r="Q298" i="18"/>
  <c r="Q295" i="18"/>
  <c r="Q297" i="18"/>
  <c r="Q300" i="18"/>
  <c r="Q299" i="18"/>
  <c r="Q294" i="18"/>
  <c r="Q292" i="18"/>
  <c r="Q291" i="18"/>
  <c r="Q296" i="18"/>
  <c r="U33" i="16"/>
  <c r="Q34" i="15" s="1"/>
  <c r="U31" i="16"/>
  <c r="Q32" i="15" s="1"/>
  <c r="T33" i="16"/>
  <c r="P34" i="15" s="1"/>
  <c r="D33" i="16"/>
  <c r="T31" i="16"/>
  <c r="P32" i="15" s="1"/>
  <c r="D31" i="16"/>
  <c r="S31" i="16"/>
  <c r="O32" i="15" s="1"/>
  <c r="D30" i="16"/>
  <c r="D31" i="15" s="1"/>
  <c r="I292" i="18" s="1"/>
  <c r="N292" i="18" s="1"/>
  <c r="D29" i="16"/>
  <c r="D30" i="15" s="1"/>
  <c r="I281" i="18" s="1"/>
  <c r="N281" i="18" s="1"/>
  <c r="D27" i="16"/>
  <c r="D28" i="15" s="1"/>
  <c r="D25" i="16"/>
  <c r="D26" i="15" s="1"/>
  <c r="D23" i="16"/>
  <c r="D24" i="15" s="1"/>
  <c r="D21" i="16"/>
  <c r="D19" i="16"/>
  <c r="D20" i="15" s="1"/>
  <c r="D17" i="16"/>
  <c r="D18" i="15" s="1"/>
  <c r="D15" i="16"/>
  <c r="D16" i="15" s="1"/>
  <c r="D13" i="16"/>
  <c r="D14" i="15" s="1"/>
  <c r="D11" i="16"/>
  <c r="D12" i="15" s="1"/>
  <c r="D9" i="16"/>
  <c r="D10" i="15" s="1"/>
  <c r="D7" i="16"/>
  <c r="D8" i="15" s="1"/>
  <c r="D5" i="16"/>
  <c r="D6" i="15" s="1"/>
  <c r="U32" i="16"/>
  <c r="Q33" i="15" s="1"/>
  <c r="D34" i="16"/>
  <c r="D35" i="15" s="1"/>
  <c r="T32" i="16"/>
  <c r="P33" i="15" s="1"/>
  <c r="S32" i="16"/>
  <c r="O33" i="15" s="1"/>
  <c r="D28" i="16"/>
  <c r="D29" i="15" s="1"/>
  <c r="I270" i="18" s="1"/>
  <c r="N270" i="18" s="1"/>
  <c r="D26" i="16"/>
  <c r="D27" i="15" s="1"/>
  <c r="D24" i="16"/>
  <c r="D25" i="15" s="1"/>
  <c r="D22" i="16"/>
  <c r="D23" i="15" s="1"/>
  <c r="D20" i="16"/>
  <c r="D21" i="15" s="1"/>
  <c r="D18" i="16"/>
  <c r="D16" i="16"/>
  <c r="D17" i="15" s="1"/>
  <c r="D14" i="16"/>
  <c r="D15" i="15" s="1"/>
  <c r="D12" i="16"/>
  <c r="D13" i="15" s="1"/>
  <c r="D10" i="16"/>
  <c r="D11" i="15" s="1"/>
  <c r="D8" i="16"/>
  <c r="D9" i="15" s="1"/>
  <c r="D6" i="16"/>
  <c r="D7" i="15" s="1"/>
  <c r="S33" i="16"/>
  <c r="O34" i="15" s="1"/>
  <c r="D32" i="16"/>
  <c r="D33" i="15" s="1"/>
  <c r="I314" i="18" s="1"/>
  <c r="N314" i="18" s="1"/>
  <c r="J34" i="16"/>
  <c r="J32" i="16"/>
  <c r="J30" i="16"/>
  <c r="J29" i="16"/>
  <c r="J27" i="16"/>
  <c r="J25" i="16"/>
  <c r="J23" i="16"/>
  <c r="J21" i="16"/>
  <c r="J19" i="16"/>
  <c r="J17" i="16"/>
  <c r="J15" i="16"/>
  <c r="J13" i="16"/>
  <c r="J11" i="16"/>
  <c r="J9" i="16"/>
  <c r="J7" i="16"/>
  <c r="J5" i="16"/>
  <c r="J33" i="16"/>
  <c r="J28" i="16"/>
  <c r="J26" i="16"/>
  <c r="J22" i="16"/>
  <c r="J18" i="16"/>
  <c r="J14" i="16"/>
  <c r="J24" i="16"/>
  <c r="J8" i="16"/>
  <c r="J31" i="16"/>
  <c r="J6" i="16"/>
  <c r="J20" i="16"/>
  <c r="J16" i="16"/>
  <c r="J12" i="16"/>
  <c r="J10" i="16"/>
  <c r="M5" i="4"/>
  <c r="S5" i="16" s="1"/>
  <c r="O6" i="15" s="1"/>
  <c r="K8" i="4"/>
  <c r="N9" i="4"/>
  <c r="T9" i="16" s="1"/>
  <c r="P10" i="15" s="1"/>
  <c r="T10" i="16"/>
  <c r="P11" i="15" s="1"/>
  <c r="K12" i="4"/>
  <c r="N13" i="4"/>
  <c r="T12" i="16" s="1"/>
  <c r="P13" i="15" s="1"/>
  <c r="U13" i="16"/>
  <c r="Q14" i="15" s="1"/>
  <c r="L20" i="4"/>
  <c r="U20" i="16"/>
  <c r="Q21" i="15" s="1"/>
  <c r="S22" i="16"/>
  <c r="O23" i="15" s="1"/>
  <c r="L24" i="4"/>
  <c r="S25" i="16"/>
  <c r="O26" i="15" s="1"/>
  <c r="M28" i="4"/>
  <c r="S27" i="16" s="1"/>
  <c r="O28" i="15" s="1"/>
  <c r="G11" i="7"/>
  <c r="F25" i="7"/>
  <c r="F57" i="7"/>
  <c r="F89" i="7"/>
  <c r="F121" i="7"/>
  <c r="F153" i="7"/>
  <c r="P6" i="8"/>
  <c r="P7" i="8"/>
  <c r="D12" i="14"/>
  <c r="F20" i="10"/>
  <c r="E12" i="14" s="1"/>
  <c r="K28" i="14"/>
  <c r="I28" i="14"/>
  <c r="J28" i="14"/>
  <c r="H28" i="14"/>
  <c r="L17" i="13"/>
  <c r="I58" i="18"/>
  <c r="M15" i="13"/>
  <c r="I112" i="18"/>
  <c r="N112" i="18" s="1"/>
  <c r="K21" i="13"/>
  <c r="H8" i="14"/>
  <c r="Q158" i="18"/>
  <c r="Q150" i="18"/>
  <c r="Q155" i="18"/>
  <c r="Q152" i="18"/>
  <c r="Q157" i="18"/>
  <c r="Q149" i="18"/>
  <c r="Q154" i="18"/>
  <c r="Q151" i="18"/>
  <c r="Q156" i="18"/>
  <c r="Q153" i="18"/>
  <c r="Q148" i="18"/>
  <c r="Q174" i="18"/>
  <c r="Q179" i="18"/>
  <c r="Q171" i="18"/>
  <c r="Q176" i="18"/>
  <c r="Q173" i="18"/>
  <c r="Q178" i="18"/>
  <c r="Q175" i="18"/>
  <c r="Q170" i="18"/>
  <c r="Q180" i="18"/>
  <c r="Q177" i="18"/>
  <c r="Q172" i="18"/>
  <c r="S23" i="16"/>
  <c r="O24" i="15" s="1"/>
  <c r="C27" i="15"/>
  <c r="T27" i="16"/>
  <c r="P28" i="15" s="1"/>
  <c r="K31" i="4"/>
  <c r="H34" i="16"/>
  <c r="H32" i="16"/>
  <c r="H30" i="16"/>
  <c r="H31" i="16"/>
  <c r="H28" i="16"/>
  <c r="H26" i="16"/>
  <c r="H24" i="16"/>
  <c r="H22" i="16"/>
  <c r="H20" i="16"/>
  <c r="H18" i="16"/>
  <c r="H16" i="16"/>
  <c r="H14" i="16"/>
  <c r="H12" i="16"/>
  <c r="H10" i="16"/>
  <c r="H8" i="16"/>
  <c r="H6" i="16"/>
  <c r="H29" i="16"/>
  <c r="H27" i="16"/>
  <c r="H25" i="16"/>
  <c r="H23" i="16"/>
  <c r="H21" i="16"/>
  <c r="H19" i="16"/>
  <c r="H17" i="16"/>
  <c r="H15" i="16"/>
  <c r="H13" i="16"/>
  <c r="H11" i="16"/>
  <c r="H9" i="16"/>
  <c r="H7" i="16"/>
  <c r="H5" i="16"/>
  <c r="H33" i="16"/>
  <c r="K34" i="16"/>
  <c r="K32" i="16"/>
  <c r="K29" i="16"/>
  <c r="K27" i="16"/>
  <c r="K25" i="16"/>
  <c r="K23" i="16"/>
  <c r="K21" i="16"/>
  <c r="K19" i="16"/>
  <c r="K17" i="16"/>
  <c r="K15" i="16"/>
  <c r="K13" i="16"/>
  <c r="K11" i="16"/>
  <c r="K9" i="16"/>
  <c r="K7" i="16"/>
  <c r="K5" i="16"/>
  <c r="K33" i="16"/>
  <c r="K30" i="16"/>
  <c r="K28" i="16"/>
  <c r="K26" i="16"/>
  <c r="K22" i="16"/>
  <c r="K18" i="16"/>
  <c r="K14" i="16"/>
  <c r="K10" i="16"/>
  <c r="K6" i="16"/>
  <c r="K24" i="16"/>
  <c r="K8" i="16"/>
  <c r="K31" i="16"/>
  <c r="K20" i="16"/>
  <c r="K16" i="16"/>
  <c r="K12" i="16"/>
  <c r="I7" i="8"/>
  <c r="M15" i="8"/>
  <c r="M34" i="8"/>
  <c r="M17" i="13"/>
  <c r="I21" i="18"/>
  <c r="N21" i="18" s="1"/>
  <c r="K6" i="15"/>
  <c r="H12" i="13"/>
  <c r="H5" i="15"/>
  <c r="K8" i="15"/>
  <c r="U241" i="18"/>
  <c r="U246" i="18"/>
  <c r="U238" i="18"/>
  <c r="U243" i="18"/>
  <c r="U245" i="18"/>
  <c r="U237" i="18"/>
  <c r="U239" i="18"/>
  <c r="U240" i="18"/>
  <c r="U242" i="18"/>
  <c r="U244" i="18"/>
  <c r="U236" i="18"/>
  <c r="F27" i="14"/>
  <c r="F28" i="14"/>
  <c r="P6" i="15"/>
  <c r="S96" i="18"/>
  <c r="S101" i="18"/>
  <c r="S93" i="18"/>
  <c r="S102" i="18"/>
  <c r="S97" i="18"/>
  <c r="S95" i="18"/>
  <c r="S99" i="18"/>
  <c r="S103" i="18"/>
  <c r="S100" i="18"/>
  <c r="S94" i="18"/>
  <c r="S98" i="18"/>
  <c r="N8" i="4"/>
  <c r="T8" i="16" s="1"/>
  <c r="P9" i="15" s="1"/>
  <c r="S34" i="16"/>
  <c r="M12" i="4"/>
  <c r="S11" i="16" s="1"/>
  <c r="M16" i="4"/>
  <c r="S15" i="16" s="1"/>
  <c r="O16" i="15" s="1"/>
  <c r="C19" i="15"/>
  <c r="N20" i="4"/>
  <c r="T19" i="16" s="1"/>
  <c r="P20" i="15" s="1"/>
  <c r="O24" i="4"/>
  <c r="U23" i="16" s="1"/>
  <c r="Q24" i="15" s="1"/>
  <c r="S26" i="16"/>
  <c r="O27" i="15" s="1"/>
  <c r="L31" i="4"/>
  <c r="F49" i="7"/>
  <c r="F81" i="7"/>
  <c r="F113" i="7"/>
  <c r="F145" i="7"/>
  <c r="F177" i="7"/>
  <c r="I102" i="18"/>
  <c r="M20" i="13"/>
  <c r="I197" i="18"/>
  <c r="N197" i="18" s="1"/>
  <c r="K22" i="15"/>
  <c r="O6" i="4"/>
  <c r="U6" i="16" s="1"/>
  <c r="Q7" i="15" s="1"/>
  <c r="L6" i="4"/>
  <c r="K7" i="4"/>
  <c r="O8" i="4"/>
  <c r="U8" i="16" s="1"/>
  <c r="Q9" i="15" s="1"/>
  <c r="C10" i="16"/>
  <c r="M10" i="8"/>
  <c r="N12" i="4"/>
  <c r="T11" i="16" s="1"/>
  <c r="P12" i="15" s="1"/>
  <c r="K15" i="4"/>
  <c r="O16" i="4"/>
  <c r="U15" i="16" s="1"/>
  <c r="Q16" i="15" s="1"/>
  <c r="K18" i="4"/>
  <c r="S18" i="16"/>
  <c r="O19" i="15" s="1"/>
  <c r="L23" i="4"/>
  <c r="O25" i="4"/>
  <c r="U24" i="16" s="1"/>
  <c r="Q25" i="15" s="1"/>
  <c r="L25" i="4"/>
  <c r="L26" i="4"/>
  <c r="U26" i="16"/>
  <c r="Q27" i="15" s="1"/>
  <c r="N31" i="4"/>
  <c r="T30" i="16" s="1"/>
  <c r="P31" i="15" s="1"/>
  <c r="B8" i="12"/>
  <c r="G15" i="7"/>
  <c r="F45" i="7"/>
  <c r="F77" i="7"/>
  <c r="F109" i="7"/>
  <c r="F141" i="7"/>
  <c r="F173" i="7"/>
  <c r="F190" i="7"/>
  <c r="F193" i="7"/>
  <c r="F206" i="7"/>
  <c r="F209" i="7"/>
  <c r="F222" i="7"/>
  <c r="F225" i="7"/>
  <c r="F238" i="7"/>
  <c r="F241" i="7"/>
  <c r="F254" i="7"/>
  <c r="F257" i="7"/>
  <c r="G12" i="6"/>
  <c r="L7" i="16" s="1"/>
  <c r="L31" i="14"/>
  <c r="L29" i="14"/>
  <c r="B18" i="12"/>
  <c r="M13" i="14"/>
  <c r="L30" i="14"/>
  <c r="J18" i="14"/>
  <c r="J21" i="14"/>
  <c r="B13" i="12"/>
  <c r="I90" i="18"/>
  <c r="N90" i="18" s="1"/>
  <c r="K19" i="13"/>
  <c r="O13" i="15"/>
  <c r="U178" i="18"/>
  <c r="U170" i="18"/>
  <c r="U175" i="18"/>
  <c r="U180" i="18"/>
  <c r="U172" i="18"/>
  <c r="U177" i="18"/>
  <c r="U176" i="18"/>
  <c r="U174" i="18"/>
  <c r="U173" i="18"/>
  <c r="U179" i="18"/>
  <c r="U171" i="18"/>
  <c r="F26" i="14"/>
  <c r="S65" i="18"/>
  <c r="S70" i="18"/>
  <c r="S62" i="18"/>
  <c r="S67" i="18"/>
  <c r="S64" i="18"/>
  <c r="S69" i="18"/>
  <c r="S61" i="18"/>
  <c r="S68" i="18"/>
  <c r="S60" i="18"/>
  <c r="S63" i="18"/>
  <c r="S66" i="18"/>
  <c r="F49" i="14"/>
  <c r="H49" i="14" s="1"/>
  <c r="F48" i="14"/>
  <c r="H48" i="14" s="1"/>
  <c r="M7" i="4"/>
  <c r="S7" i="16" s="1"/>
  <c r="O8" i="15" s="1"/>
  <c r="S9" i="16"/>
  <c r="O10" i="15" s="1"/>
  <c r="S10" i="16"/>
  <c r="L15" i="4"/>
  <c r="O17" i="4"/>
  <c r="U16" i="16" s="1"/>
  <c r="Q17" i="15" s="1"/>
  <c r="L17" i="4"/>
  <c r="L18" i="4"/>
  <c r="U18" i="16"/>
  <c r="Q19" i="15" s="1"/>
  <c r="T22" i="16"/>
  <c r="P23" i="15" s="1"/>
  <c r="T25" i="16"/>
  <c r="P26" i="15" s="1"/>
  <c r="U27" i="16"/>
  <c r="Q28" i="15" s="1"/>
  <c r="L29" i="4"/>
  <c r="S29" i="16"/>
  <c r="O30" i="15" s="1"/>
  <c r="O31" i="4"/>
  <c r="U30" i="16" s="1"/>
  <c r="Q31" i="15" s="1"/>
  <c r="F41" i="7"/>
  <c r="F73" i="7"/>
  <c r="F105" i="7"/>
  <c r="F137" i="7"/>
  <c r="F169" i="7"/>
  <c r="I34" i="16"/>
  <c r="I32" i="16"/>
  <c r="I29" i="16"/>
  <c r="I27" i="16"/>
  <c r="I30" i="16"/>
  <c r="I31" i="16"/>
  <c r="I24" i="16"/>
  <c r="I20" i="16"/>
  <c r="I16" i="16"/>
  <c r="I12" i="16"/>
  <c r="I8" i="16"/>
  <c r="I23" i="16"/>
  <c r="I19" i="16"/>
  <c r="I15" i="16"/>
  <c r="I11" i="16"/>
  <c r="I7" i="16"/>
  <c r="I33" i="16"/>
  <c r="I28" i="16"/>
  <c r="I26" i="16"/>
  <c r="I22" i="16"/>
  <c r="I18" i="16"/>
  <c r="I14" i="16"/>
  <c r="I10" i="16"/>
  <c r="I6" i="16"/>
  <c r="I25" i="16"/>
  <c r="I21" i="16"/>
  <c r="I17" i="16"/>
  <c r="I9" i="16"/>
  <c r="G13" i="6"/>
  <c r="M18" i="16" s="1"/>
  <c r="I36" i="8"/>
  <c r="G15" i="6"/>
  <c r="O18" i="16" s="1"/>
  <c r="M9" i="8"/>
  <c r="M26" i="8"/>
  <c r="I8" i="14"/>
  <c r="G8" i="14"/>
  <c r="L33" i="14"/>
  <c r="M14" i="14"/>
  <c r="L32" i="14"/>
  <c r="L34" i="14"/>
  <c r="E12" i="11"/>
  <c r="I134" i="18"/>
  <c r="N134" i="18" s="1"/>
  <c r="K23" i="13"/>
  <c r="I164" i="18"/>
  <c r="N164" i="18" s="1"/>
  <c r="K19" i="15"/>
  <c r="I13" i="16"/>
  <c r="M28" i="14"/>
  <c r="M27" i="14"/>
  <c r="M26" i="14"/>
  <c r="J23" i="14"/>
  <c r="I69" i="18"/>
  <c r="L16" i="13"/>
  <c r="I113" i="18"/>
  <c r="M21" i="13"/>
  <c r="L21" i="13"/>
  <c r="I135" i="18"/>
  <c r="M23" i="13"/>
  <c r="U210" i="18"/>
  <c r="U203" i="18"/>
  <c r="U213" i="18"/>
  <c r="U206" i="18"/>
  <c r="U209" i="18"/>
  <c r="U207" i="18"/>
  <c r="U208" i="18"/>
  <c r="U205" i="18"/>
  <c r="U204" i="18"/>
  <c r="U211" i="18"/>
  <c r="U212" i="18"/>
  <c r="I234" i="18"/>
  <c r="L32" i="13"/>
  <c r="I240" i="18"/>
  <c r="N240" i="18" s="1"/>
  <c r="G33" i="13"/>
  <c r="I318" i="18"/>
  <c r="N318" i="18" s="1"/>
  <c r="K33" i="15"/>
  <c r="I321" i="18" s="1"/>
  <c r="N321" i="18" s="1"/>
  <c r="N5" i="16"/>
  <c r="F7" i="16"/>
  <c r="V13" i="16"/>
  <c r="Q15" i="16"/>
  <c r="F36" i="8"/>
  <c r="M27" i="16"/>
  <c r="K12" i="14"/>
  <c r="B17" i="12"/>
  <c r="E38" i="14"/>
  <c r="E8" i="11"/>
  <c r="E42" i="14"/>
  <c r="H20" i="14"/>
  <c r="E10" i="11"/>
  <c r="D20" i="12"/>
  <c r="K22" i="13"/>
  <c r="K7" i="15"/>
  <c r="I53" i="18"/>
  <c r="N53" i="18" s="1"/>
  <c r="G15" i="13"/>
  <c r="I9" i="15"/>
  <c r="I97" i="18"/>
  <c r="N97" i="18" s="1"/>
  <c r="G20" i="13"/>
  <c r="I175" i="18"/>
  <c r="N175" i="18" s="1"/>
  <c r="K20" i="15"/>
  <c r="I208" i="18"/>
  <c r="N208" i="18" s="1"/>
  <c r="K23" i="15"/>
  <c r="H30" i="13"/>
  <c r="U218" i="18"/>
  <c r="U221" i="18"/>
  <c r="U214" i="18"/>
  <c r="U224" i="18"/>
  <c r="U217" i="18"/>
  <c r="U223" i="18"/>
  <c r="U220" i="18"/>
  <c r="U216" i="18"/>
  <c r="U222" i="18"/>
  <c r="U219" i="18"/>
  <c r="U215" i="18"/>
  <c r="I241" i="18"/>
  <c r="N241" i="18" s="1"/>
  <c r="K26" i="15"/>
  <c r="H33" i="13"/>
  <c r="K27" i="15"/>
  <c r="I252" i="18"/>
  <c r="N252" i="18" s="1"/>
  <c r="I296" i="18"/>
  <c r="N296" i="18" s="1"/>
  <c r="K31" i="15"/>
  <c r="I299" i="18" s="1"/>
  <c r="N299" i="18" s="1"/>
  <c r="L26" i="14"/>
  <c r="N7" i="16"/>
  <c r="F9" i="16"/>
  <c r="N19" i="16"/>
  <c r="E33" i="16"/>
  <c r="E31" i="16"/>
  <c r="E34" i="16"/>
  <c r="E28" i="16"/>
  <c r="E32" i="16"/>
  <c r="E25" i="16"/>
  <c r="E21" i="16"/>
  <c r="E17" i="16"/>
  <c r="E13" i="16"/>
  <c r="E9" i="16"/>
  <c r="E5" i="16"/>
  <c r="E24" i="16"/>
  <c r="E20" i="16"/>
  <c r="E16" i="16"/>
  <c r="E12" i="16"/>
  <c r="E8" i="16"/>
  <c r="E27" i="16"/>
  <c r="E23" i="16"/>
  <c r="E19" i="16"/>
  <c r="E15" i="16"/>
  <c r="E11" i="16"/>
  <c r="E7" i="16"/>
  <c r="E29" i="16"/>
  <c r="E26" i="16"/>
  <c r="E22" i="16"/>
  <c r="E18" i="16"/>
  <c r="L6" i="16"/>
  <c r="M13" i="8"/>
  <c r="O16" i="16"/>
  <c r="O24" i="16"/>
  <c r="B16" i="12"/>
  <c r="L23" i="13"/>
  <c r="I36" i="18"/>
  <c r="L5" i="15"/>
  <c r="M13" i="13"/>
  <c r="L13" i="13"/>
  <c r="I263" i="18"/>
  <c r="N263" i="18" s="1"/>
  <c r="K28" i="15"/>
  <c r="E14" i="16"/>
  <c r="F30" i="16"/>
  <c r="I145" i="18"/>
  <c r="N145" i="18" s="1"/>
  <c r="K24" i="13"/>
  <c r="I219" i="18"/>
  <c r="N219" i="18" s="1"/>
  <c r="K24" i="15"/>
  <c r="I324" i="18"/>
  <c r="N324" i="18" s="1"/>
  <c r="F17" i="16"/>
  <c r="N23" i="16"/>
  <c r="I146" i="18"/>
  <c r="L24" i="13"/>
  <c r="I152" i="18"/>
  <c r="N152" i="18" s="1"/>
  <c r="G25" i="13"/>
  <c r="I256" i="18"/>
  <c r="M34" i="13"/>
  <c r="L34" i="13"/>
  <c r="H6" i="14"/>
  <c r="C22" i="15"/>
  <c r="F33" i="16"/>
  <c r="F31" i="16"/>
  <c r="F34" i="16"/>
  <c r="F28" i="16"/>
  <c r="F26" i="16"/>
  <c r="F24" i="16"/>
  <c r="F22" i="16"/>
  <c r="F20" i="16"/>
  <c r="F18" i="16"/>
  <c r="F16" i="16"/>
  <c r="F14" i="16"/>
  <c r="F12" i="16"/>
  <c r="F10" i="16"/>
  <c r="F8" i="16"/>
  <c r="F6" i="16"/>
  <c r="F32" i="16"/>
  <c r="F27" i="16"/>
  <c r="F23" i="16"/>
  <c r="F19" i="16"/>
  <c r="F15" i="16"/>
  <c r="F29" i="16"/>
  <c r="N33" i="16"/>
  <c r="N31" i="16"/>
  <c r="N29" i="16"/>
  <c r="N30" i="16"/>
  <c r="N28" i="16"/>
  <c r="N26" i="16"/>
  <c r="N24" i="16"/>
  <c r="N22" i="16"/>
  <c r="N20" i="16"/>
  <c r="N18" i="16"/>
  <c r="N16" i="16"/>
  <c r="N14" i="16"/>
  <c r="N12" i="16"/>
  <c r="N10" i="16"/>
  <c r="N8" i="16"/>
  <c r="N6" i="16"/>
  <c r="N27" i="16"/>
  <c r="N32" i="16"/>
  <c r="N25" i="16"/>
  <c r="N21" i="16"/>
  <c r="N17" i="16"/>
  <c r="N13" i="16"/>
  <c r="N34" i="16"/>
  <c r="Q34" i="16"/>
  <c r="Q32" i="16"/>
  <c r="Q30" i="16"/>
  <c r="Q33" i="16"/>
  <c r="Q31" i="16"/>
  <c r="Q27" i="16"/>
  <c r="Q29" i="16"/>
  <c r="Q28" i="16"/>
  <c r="Q26" i="16"/>
  <c r="Q22" i="16"/>
  <c r="Q18" i="16"/>
  <c r="Q14" i="16"/>
  <c r="Q10" i="16"/>
  <c r="Q6" i="16"/>
  <c r="Q25" i="16"/>
  <c r="Q21" i="16"/>
  <c r="Q17" i="16"/>
  <c r="Q13" i="16"/>
  <c r="Q9" i="16"/>
  <c r="Q5" i="16"/>
  <c r="Q24" i="16"/>
  <c r="Q20" i="16"/>
  <c r="Q16" i="16"/>
  <c r="Q12" i="16"/>
  <c r="Q8" i="16"/>
  <c r="Q23" i="16"/>
  <c r="Q19" i="16"/>
  <c r="M23" i="16"/>
  <c r="M16" i="13"/>
  <c r="K18" i="13"/>
  <c r="G24" i="13"/>
  <c r="H27" i="13"/>
  <c r="G30" i="13"/>
  <c r="I130" i="18"/>
  <c r="N130" i="18" s="1"/>
  <c r="G23" i="13"/>
  <c r="I153" i="18"/>
  <c r="N153" i="18" s="1"/>
  <c r="K18" i="15"/>
  <c r="H25" i="13"/>
  <c r="I328" i="18"/>
  <c r="N328" i="18" s="1"/>
  <c r="K34" i="15"/>
  <c r="I332" i="18" s="1"/>
  <c r="N332" i="18" s="1"/>
  <c r="I6" i="14"/>
  <c r="L12" i="14"/>
  <c r="H22" i="14"/>
  <c r="F5" i="16"/>
  <c r="N11" i="16"/>
  <c r="F13" i="16"/>
  <c r="F21" i="16"/>
  <c r="U162" i="18"/>
  <c r="U167" i="18"/>
  <c r="U159" i="18"/>
  <c r="U164" i="18"/>
  <c r="U169" i="18"/>
  <c r="U161" i="18"/>
  <c r="U168" i="18"/>
  <c r="U166" i="18"/>
  <c r="U165" i="18"/>
  <c r="U160" i="18"/>
  <c r="U163" i="18"/>
  <c r="I223" i="18"/>
  <c r="M31" i="13"/>
  <c r="U257" i="18"/>
  <c r="U249" i="18"/>
  <c r="U254" i="18"/>
  <c r="U251" i="18"/>
  <c r="U253" i="18"/>
  <c r="U255" i="18"/>
  <c r="U247" i="18"/>
  <c r="U248" i="18"/>
  <c r="U250" i="18"/>
  <c r="U252" i="18"/>
  <c r="U256" i="18"/>
  <c r="N15" i="16"/>
  <c r="U265" i="18"/>
  <c r="U262" i="18"/>
  <c r="U267" i="18"/>
  <c r="U259" i="18"/>
  <c r="U261" i="18"/>
  <c r="U263" i="18"/>
  <c r="U268" i="18"/>
  <c r="U258" i="18"/>
  <c r="U264" i="18"/>
  <c r="U260" i="18"/>
  <c r="U266" i="18"/>
  <c r="I302" i="18"/>
  <c r="N302" i="18" s="1"/>
  <c r="U329" i="18"/>
  <c r="U334" i="18"/>
  <c r="U326" i="18"/>
  <c r="U331" i="18"/>
  <c r="U333" i="18"/>
  <c r="U325" i="18"/>
  <c r="U330" i="18"/>
  <c r="U327" i="18"/>
  <c r="U328" i="18"/>
  <c r="U332" i="18"/>
  <c r="U324" i="18"/>
  <c r="H23" i="14"/>
  <c r="E32" i="14"/>
  <c r="C33" i="15"/>
  <c r="U19" i="18"/>
  <c r="U24" i="18"/>
  <c r="U16" i="18"/>
  <c r="U21" i="18"/>
  <c r="U26" i="18"/>
  <c r="U18" i="18"/>
  <c r="U23" i="18"/>
  <c r="U22" i="18"/>
  <c r="U17" i="18"/>
  <c r="U20" i="18"/>
  <c r="U154" i="18"/>
  <c r="U151" i="18"/>
  <c r="U156" i="18"/>
  <c r="U148" i="18"/>
  <c r="U153" i="18"/>
  <c r="U158" i="18"/>
  <c r="U157" i="18"/>
  <c r="U152" i="18"/>
  <c r="U150" i="18"/>
  <c r="U149" i="18"/>
  <c r="U155" i="18"/>
  <c r="U202" i="18"/>
  <c r="U194" i="18"/>
  <c r="U199" i="18"/>
  <c r="U196" i="18"/>
  <c r="U193" i="18"/>
  <c r="U200" i="18"/>
  <c r="U198" i="18"/>
  <c r="U197" i="18"/>
  <c r="U192" i="18"/>
  <c r="U201" i="18"/>
  <c r="U195" i="18"/>
  <c r="U273" i="18"/>
  <c r="U278" i="18"/>
  <c r="U270" i="18"/>
  <c r="U275" i="18"/>
  <c r="U277" i="18"/>
  <c r="U269" i="18"/>
  <c r="U279" i="18"/>
  <c r="U271" i="18"/>
  <c r="U272" i="18"/>
  <c r="U274" i="18"/>
  <c r="U276" i="18"/>
  <c r="U305" i="18"/>
  <c r="U310" i="18"/>
  <c r="U302" i="18"/>
  <c r="U307" i="18"/>
  <c r="U309" i="18"/>
  <c r="U303" i="18"/>
  <c r="U306" i="18"/>
  <c r="U304" i="18"/>
  <c r="U312" i="18"/>
  <c r="U311" i="18"/>
  <c r="U308" i="18"/>
  <c r="U345" i="18"/>
  <c r="U337" i="18"/>
  <c r="U342" i="18"/>
  <c r="U339" i="18"/>
  <c r="U344" i="18"/>
  <c r="U336" i="18"/>
  <c r="U341" i="18"/>
  <c r="U335" i="18"/>
  <c r="U338" i="18"/>
  <c r="U343" i="18"/>
  <c r="U340" i="18"/>
  <c r="G7" i="14"/>
  <c r="U25" i="18"/>
  <c r="F21" i="10"/>
  <c r="E13" i="14" s="1"/>
  <c r="M33" i="14"/>
  <c r="M32" i="14"/>
  <c r="E13" i="11"/>
  <c r="U35" i="18"/>
  <c r="U27" i="18"/>
  <c r="U32" i="18"/>
  <c r="U37" i="18"/>
  <c r="U29" i="18"/>
  <c r="U34" i="18"/>
  <c r="U31" i="18"/>
  <c r="U28" i="18"/>
  <c r="U30" i="18"/>
  <c r="U33" i="18"/>
  <c r="I186" i="18"/>
  <c r="N186" i="18" s="1"/>
  <c r="K21" i="15"/>
  <c r="I230" i="18"/>
  <c r="N230" i="18" s="1"/>
  <c r="K25" i="15"/>
  <c r="J22" i="14"/>
  <c r="E30" i="14"/>
  <c r="L27" i="14"/>
  <c r="M12" i="14"/>
  <c r="U43" i="18"/>
  <c r="U48" i="18"/>
  <c r="U40" i="18"/>
  <c r="U45" i="18"/>
  <c r="U42" i="18"/>
  <c r="U47" i="18"/>
  <c r="U39" i="18"/>
  <c r="U41" i="18"/>
  <c r="U44" i="18"/>
  <c r="U59" i="18"/>
  <c r="U51" i="18"/>
  <c r="U56" i="18"/>
  <c r="U53" i="18"/>
  <c r="U58" i="18"/>
  <c r="U50" i="18"/>
  <c r="U55" i="18"/>
  <c r="U49" i="18"/>
  <c r="U52" i="18"/>
  <c r="U54" i="18"/>
  <c r="U67" i="18"/>
  <c r="U64" i="18"/>
  <c r="U69" i="18"/>
  <c r="U61" i="18"/>
  <c r="U66" i="18"/>
  <c r="U63" i="18"/>
  <c r="U60" i="18"/>
  <c r="U62" i="18"/>
  <c r="U65" i="18"/>
  <c r="U75" i="18"/>
  <c r="U80" i="18"/>
  <c r="U72" i="18"/>
  <c r="U77" i="18"/>
  <c r="U74" i="18"/>
  <c r="U79" i="18"/>
  <c r="U71" i="18"/>
  <c r="U81" i="18"/>
  <c r="U73" i="18"/>
  <c r="U76" i="18"/>
  <c r="U90" i="18"/>
  <c r="U87" i="18"/>
  <c r="U86" i="18"/>
  <c r="U83" i="18"/>
  <c r="U91" i="18"/>
  <c r="U85" i="18"/>
  <c r="U82" i="18"/>
  <c r="U89" i="18"/>
  <c r="U84" i="18"/>
  <c r="U92" i="18"/>
  <c r="U98" i="18"/>
  <c r="U103" i="18"/>
  <c r="U95" i="18"/>
  <c r="U102" i="18"/>
  <c r="U97" i="18"/>
  <c r="U101" i="18"/>
  <c r="U96" i="18"/>
  <c r="U100" i="18"/>
  <c r="U94" i="18"/>
  <c r="U114" i="18"/>
  <c r="U106" i="18"/>
  <c r="U111" i="18"/>
  <c r="U107" i="18"/>
  <c r="U113" i="18"/>
  <c r="U112" i="18"/>
  <c r="U105" i="18"/>
  <c r="U108" i="18"/>
  <c r="U109" i="18"/>
  <c r="U110" i="18"/>
  <c r="U122" i="18"/>
  <c r="U119" i="18"/>
  <c r="U124" i="18"/>
  <c r="U116" i="18"/>
  <c r="U125" i="18"/>
  <c r="U115" i="18"/>
  <c r="U123" i="18"/>
  <c r="U121" i="18"/>
  <c r="U117" i="18"/>
  <c r="U118" i="18"/>
  <c r="U120" i="18"/>
  <c r="U135" i="18"/>
  <c r="U130" i="18"/>
  <c r="U136" i="18"/>
  <c r="U127" i="18"/>
  <c r="U132" i="18"/>
  <c r="U129" i="18"/>
  <c r="U131" i="18"/>
  <c r="U126" i="18"/>
  <c r="U134" i="18"/>
  <c r="U128" i="18"/>
  <c r="U146" i="18"/>
  <c r="U143" i="18"/>
  <c r="U145" i="18"/>
  <c r="U137" i="18"/>
  <c r="U144" i="18"/>
  <c r="U142" i="18"/>
  <c r="U147" i="18"/>
  <c r="U141" i="18"/>
  <c r="U140" i="18"/>
  <c r="U138" i="18"/>
  <c r="U139" i="18"/>
  <c r="U186" i="18"/>
  <c r="U191" i="18"/>
  <c r="U183" i="18"/>
  <c r="U188" i="18"/>
  <c r="U185" i="18"/>
  <c r="U190" i="18"/>
  <c r="U189" i="18"/>
  <c r="U184" i="18"/>
  <c r="U182" i="18"/>
  <c r="U181" i="18"/>
  <c r="U187" i="18"/>
  <c r="U235" i="18"/>
  <c r="U233" i="18"/>
  <c r="U226" i="18"/>
  <c r="U231" i="18"/>
  <c r="U228" i="18"/>
  <c r="U227" i="18"/>
  <c r="U234" i="18"/>
  <c r="U225" i="18"/>
  <c r="U229" i="18"/>
  <c r="U230" i="18"/>
  <c r="U232" i="18"/>
  <c r="I274" i="18"/>
  <c r="N274" i="18" s="1"/>
  <c r="K29" i="15"/>
  <c r="I277" i="18" s="1"/>
  <c r="N277" i="18" s="1"/>
  <c r="U289" i="18"/>
  <c r="U281" i="18"/>
  <c r="U286" i="18"/>
  <c r="U283" i="18"/>
  <c r="U285" i="18"/>
  <c r="U287" i="18"/>
  <c r="U284" i="18"/>
  <c r="U288" i="18"/>
  <c r="U282" i="18"/>
  <c r="U280" i="18"/>
  <c r="U290" i="18"/>
  <c r="I340" i="18"/>
  <c r="N340" i="18" s="1"/>
  <c r="K35" i="15"/>
  <c r="I7" i="14"/>
  <c r="H19" i="14"/>
  <c r="E28" i="14"/>
  <c r="U93" i="18"/>
  <c r="U321" i="18"/>
  <c r="U313" i="18"/>
  <c r="U318" i="18"/>
  <c r="U323" i="18"/>
  <c r="U315" i="18"/>
  <c r="U317" i="18"/>
  <c r="U322" i="18"/>
  <c r="U314" i="18"/>
  <c r="U319" i="18"/>
  <c r="U316" i="18"/>
  <c r="U320" i="18"/>
  <c r="U297" i="18"/>
  <c r="U294" i="18"/>
  <c r="U299" i="18"/>
  <c r="U291" i="18"/>
  <c r="U301" i="18"/>
  <c r="U293" i="18"/>
  <c r="U295" i="18"/>
  <c r="U300" i="18"/>
  <c r="U298" i="18"/>
  <c r="U292" i="18"/>
  <c r="U296" i="18"/>
  <c r="S335" i="18" l="1"/>
  <c r="S341" i="18"/>
  <c r="S340" i="18"/>
  <c r="S338" i="18"/>
  <c r="S345" i="18"/>
  <c r="S337" i="18"/>
  <c r="S342" i="18"/>
  <c r="S339" i="18"/>
  <c r="S344" i="18"/>
  <c r="S343" i="18"/>
  <c r="S336" i="18"/>
  <c r="M31" i="16"/>
  <c r="M24" i="16"/>
  <c r="R191" i="18"/>
  <c r="M9" i="16"/>
  <c r="M19" i="16"/>
  <c r="R181" i="18"/>
  <c r="M5" i="16"/>
  <c r="P6" i="16"/>
  <c r="B19" i="12"/>
  <c r="Q146" i="18"/>
  <c r="Q121" i="18"/>
  <c r="Q123" i="18"/>
  <c r="Q137" i="18"/>
  <c r="Q147" i="18"/>
  <c r="O13" i="16"/>
  <c r="Q145" i="18"/>
  <c r="Q122" i="18"/>
  <c r="P9" i="4"/>
  <c r="B11" i="12" s="1"/>
  <c r="F11" i="12" s="1"/>
  <c r="Q138" i="18"/>
  <c r="Q124" i="18"/>
  <c r="R142" i="18"/>
  <c r="Q125" i="18"/>
  <c r="P29" i="16"/>
  <c r="P19" i="16"/>
  <c r="P8" i="16"/>
  <c r="P24" i="16"/>
  <c r="I101" i="18"/>
  <c r="N101" i="18" s="1"/>
  <c r="K20" i="13"/>
  <c r="C29" i="16"/>
  <c r="M29" i="8"/>
  <c r="P5" i="16"/>
  <c r="P21" i="16"/>
  <c r="P10" i="16"/>
  <c r="P26" i="16"/>
  <c r="L5" i="16"/>
  <c r="V26" i="16"/>
  <c r="Q116" i="18"/>
  <c r="Q118" i="18"/>
  <c r="P7" i="16"/>
  <c r="P23" i="16"/>
  <c r="P12" i="16"/>
  <c r="P28" i="16"/>
  <c r="P9" i="16"/>
  <c r="P25" i="16"/>
  <c r="P14" i="16"/>
  <c r="P30" i="16"/>
  <c r="Q117" i="18"/>
  <c r="P11" i="16"/>
  <c r="P27" i="16"/>
  <c r="P16" i="16"/>
  <c r="P32" i="16"/>
  <c r="P13" i="16"/>
  <c r="P31" i="16"/>
  <c r="P18" i="16"/>
  <c r="P34" i="16"/>
  <c r="O29" i="16"/>
  <c r="K5" i="5"/>
  <c r="K7" i="5" s="1"/>
  <c r="P15" i="16"/>
  <c r="P33" i="16"/>
  <c r="F19" i="12"/>
  <c r="D19" i="12"/>
  <c r="D11" i="12"/>
  <c r="F15" i="12"/>
  <c r="D15" i="12"/>
  <c r="I189" i="18"/>
  <c r="N189" i="18" s="1"/>
  <c r="K28" i="13"/>
  <c r="I156" i="18"/>
  <c r="N156" i="18" s="1"/>
  <c r="K25" i="13"/>
  <c r="M11" i="13"/>
  <c r="I14" i="18"/>
  <c r="L11" i="13"/>
  <c r="I32" i="14"/>
  <c r="H32" i="14"/>
  <c r="K32" i="14"/>
  <c r="J32" i="14"/>
  <c r="Q285" i="18"/>
  <c r="Q290" i="18"/>
  <c r="Q282" i="18"/>
  <c r="Q287" i="18"/>
  <c r="Q289" i="18"/>
  <c r="Q281" i="18"/>
  <c r="Q286" i="18"/>
  <c r="Q284" i="18"/>
  <c r="Q283" i="18"/>
  <c r="Q288" i="18"/>
  <c r="Q280" i="18"/>
  <c r="S144" i="18"/>
  <c r="S141" i="18"/>
  <c r="S146" i="18"/>
  <c r="S143" i="18"/>
  <c r="S138" i="18"/>
  <c r="S145" i="18"/>
  <c r="S137" i="18"/>
  <c r="S142" i="18"/>
  <c r="S147" i="18"/>
  <c r="S140" i="18"/>
  <c r="S139" i="18"/>
  <c r="M26" i="16"/>
  <c r="R298" i="18"/>
  <c r="R295" i="18"/>
  <c r="R300" i="18"/>
  <c r="R292" i="18"/>
  <c r="R294" i="18"/>
  <c r="R299" i="18"/>
  <c r="R297" i="18"/>
  <c r="R291" i="18"/>
  <c r="R301" i="18"/>
  <c r="R296" i="18"/>
  <c r="R293" i="18"/>
  <c r="S128" i="18"/>
  <c r="S133" i="18"/>
  <c r="S130" i="18"/>
  <c r="S136" i="18"/>
  <c r="S135" i="18"/>
  <c r="S132" i="18"/>
  <c r="S129" i="18"/>
  <c r="S127" i="18"/>
  <c r="S134" i="18"/>
  <c r="S131" i="18"/>
  <c r="S126" i="18"/>
  <c r="S33" i="18"/>
  <c r="S30" i="18"/>
  <c r="S35" i="18"/>
  <c r="S27" i="18"/>
  <c r="S32" i="18"/>
  <c r="S37" i="18"/>
  <c r="S29" i="18"/>
  <c r="S36" i="18"/>
  <c r="S28" i="18"/>
  <c r="S31" i="18"/>
  <c r="S34" i="18"/>
  <c r="R20" i="18"/>
  <c r="R25" i="18"/>
  <c r="R17" i="18"/>
  <c r="R22" i="18"/>
  <c r="R19" i="18"/>
  <c r="R24" i="18"/>
  <c r="R26" i="18"/>
  <c r="R16" i="18"/>
  <c r="R23" i="18"/>
  <c r="R18" i="18"/>
  <c r="R21" i="18"/>
  <c r="I10" i="18"/>
  <c r="N10" i="18" s="1"/>
  <c r="K5" i="15"/>
  <c r="H11" i="13"/>
  <c r="M10" i="16"/>
  <c r="S112" i="18"/>
  <c r="S104" i="18"/>
  <c r="S109" i="18"/>
  <c r="S114" i="18"/>
  <c r="S108" i="18"/>
  <c r="S107" i="18"/>
  <c r="S106" i="18"/>
  <c r="S113" i="18"/>
  <c r="S111" i="18"/>
  <c r="S110" i="18"/>
  <c r="S105" i="18"/>
  <c r="D19" i="15"/>
  <c r="I336" i="18"/>
  <c r="N336" i="18" s="1"/>
  <c r="D17" i="13"/>
  <c r="I149" i="18"/>
  <c r="N149" i="18" s="1"/>
  <c r="D25" i="13"/>
  <c r="Q309" i="18"/>
  <c r="Q306" i="18"/>
  <c r="Q311" i="18"/>
  <c r="Q303" i="18"/>
  <c r="Q305" i="18"/>
  <c r="Q310" i="18"/>
  <c r="Q308" i="18"/>
  <c r="Q307" i="18"/>
  <c r="Q302" i="18"/>
  <c r="Q312" i="18"/>
  <c r="Q304" i="18"/>
  <c r="F44" i="14"/>
  <c r="C28" i="15"/>
  <c r="V27" i="16"/>
  <c r="R136" i="18"/>
  <c r="R131" i="18"/>
  <c r="R128" i="18"/>
  <c r="R133" i="18"/>
  <c r="R130" i="18"/>
  <c r="R132" i="18"/>
  <c r="R129" i="18"/>
  <c r="R127" i="18"/>
  <c r="R134" i="18"/>
  <c r="R126" i="18"/>
  <c r="R135" i="18"/>
  <c r="R219" i="18"/>
  <c r="R215" i="18"/>
  <c r="R222" i="18"/>
  <c r="R218" i="18"/>
  <c r="R224" i="18"/>
  <c r="R221" i="18"/>
  <c r="R214" i="18"/>
  <c r="R220" i="18"/>
  <c r="R223" i="18"/>
  <c r="R217" i="18"/>
  <c r="R216" i="18"/>
  <c r="S88" i="18"/>
  <c r="S92" i="18"/>
  <c r="S86" i="18"/>
  <c r="S83" i="18"/>
  <c r="S91" i="18"/>
  <c r="S90" i="18"/>
  <c r="S85" i="18"/>
  <c r="S89" i="18"/>
  <c r="S82" i="18"/>
  <c r="S84" i="18"/>
  <c r="S87" i="18"/>
  <c r="V20" i="16"/>
  <c r="C21" i="15"/>
  <c r="S81" i="18"/>
  <c r="S73" i="18"/>
  <c r="S78" i="18"/>
  <c r="S75" i="18"/>
  <c r="S80" i="18"/>
  <c r="S72" i="18"/>
  <c r="S77" i="18"/>
  <c r="S71" i="18"/>
  <c r="S74" i="18"/>
  <c r="S76" i="18"/>
  <c r="S79" i="18"/>
  <c r="I126" i="18"/>
  <c r="N126" i="18" s="1"/>
  <c r="C23" i="13"/>
  <c r="V8" i="16"/>
  <c r="C9" i="15"/>
  <c r="H27" i="14"/>
  <c r="J27" i="14"/>
  <c r="I27" i="14"/>
  <c r="K27" i="14"/>
  <c r="I55" i="18"/>
  <c r="N55" i="18" s="1"/>
  <c r="I15" i="13"/>
  <c r="O27" i="16"/>
  <c r="O23" i="16"/>
  <c r="O19" i="16"/>
  <c r="O15" i="16"/>
  <c r="M28" i="8"/>
  <c r="C28" i="16"/>
  <c r="C14" i="16"/>
  <c r="M14" i="8"/>
  <c r="K30" i="14"/>
  <c r="H30" i="14"/>
  <c r="I30" i="14"/>
  <c r="J30" i="14"/>
  <c r="O26" i="16"/>
  <c r="S255" i="18"/>
  <c r="S247" i="18"/>
  <c r="S252" i="18"/>
  <c r="S257" i="18"/>
  <c r="S249" i="18"/>
  <c r="S251" i="18"/>
  <c r="S254" i="18"/>
  <c r="S256" i="18"/>
  <c r="S248" i="18"/>
  <c r="S250" i="18"/>
  <c r="S253" i="18"/>
  <c r="I200" i="18"/>
  <c r="N200" i="18" s="1"/>
  <c r="K29" i="13"/>
  <c r="Q134" i="18"/>
  <c r="Q126" i="18"/>
  <c r="Q131" i="18"/>
  <c r="Q128" i="18"/>
  <c r="Q133" i="18"/>
  <c r="Q136" i="18"/>
  <c r="Q135" i="18"/>
  <c r="Q130" i="18"/>
  <c r="Q132" i="18"/>
  <c r="Q129" i="18"/>
  <c r="Q127" i="18"/>
  <c r="M12" i="16"/>
  <c r="O10" i="16"/>
  <c r="R99" i="18"/>
  <c r="R96" i="18"/>
  <c r="R103" i="18"/>
  <c r="R98" i="18"/>
  <c r="R102" i="18"/>
  <c r="R101" i="18"/>
  <c r="R97" i="18"/>
  <c r="R95" i="18"/>
  <c r="R100" i="18"/>
  <c r="R94" i="18"/>
  <c r="R93" i="18"/>
  <c r="O8" i="16"/>
  <c r="Q333" i="18"/>
  <c r="Q325" i="18"/>
  <c r="Q330" i="18"/>
  <c r="Q327" i="18"/>
  <c r="Q332" i="18"/>
  <c r="Q329" i="18"/>
  <c r="Q334" i="18"/>
  <c r="Q331" i="18"/>
  <c r="Q326" i="18"/>
  <c r="Q324" i="18"/>
  <c r="Q328" i="18"/>
  <c r="I182" i="18"/>
  <c r="N182" i="18" s="1"/>
  <c r="D28" i="13"/>
  <c r="S319" i="18"/>
  <c r="S316" i="18"/>
  <c r="S321" i="18"/>
  <c r="S313" i="18"/>
  <c r="S323" i="18"/>
  <c r="S315" i="18"/>
  <c r="S322" i="18"/>
  <c r="S320" i="18"/>
  <c r="S317" i="18"/>
  <c r="S314" i="18"/>
  <c r="S318" i="18"/>
  <c r="I171" i="18"/>
  <c r="N171" i="18" s="1"/>
  <c r="D27" i="13"/>
  <c r="D32" i="15"/>
  <c r="F45" i="14"/>
  <c r="P8" i="4"/>
  <c r="B10" i="12" s="1"/>
  <c r="R201" i="18"/>
  <c r="R195" i="18"/>
  <c r="R200" i="18"/>
  <c r="R192" i="18"/>
  <c r="R197" i="18"/>
  <c r="R194" i="18"/>
  <c r="R199" i="18"/>
  <c r="R202" i="18"/>
  <c r="R196" i="18"/>
  <c r="R193" i="18"/>
  <c r="R198" i="18"/>
  <c r="R338" i="18"/>
  <c r="R343" i="18"/>
  <c r="R335" i="18"/>
  <c r="R340" i="18"/>
  <c r="R345" i="18"/>
  <c r="R337" i="18"/>
  <c r="R342" i="18"/>
  <c r="R344" i="18"/>
  <c r="R336" i="18"/>
  <c r="R341" i="18"/>
  <c r="R339" i="18"/>
  <c r="I335" i="18"/>
  <c r="N335" i="18" s="1"/>
  <c r="C17" i="13"/>
  <c r="V15" i="16"/>
  <c r="O31" i="16"/>
  <c r="M15" i="16"/>
  <c r="M13" i="16"/>
  <c r="I167" i="18"/>
  <c r="N167" i="18" s="1"/>
  <c r="K26" i="13"/>
  <c r="J33" i="14"/>
  <c r="K33" i="14"/>
  <c r="H33" i="14"/>
  <c r="I33" i="14"/>
  <c r="S263" i="18"/>
  <c r="S268" i="18"/>
  <c r="S260" i="18"/>
  <c r="S265" i="18"/>
  <c r="S267" i="18"/>
  <c r="S259" i="18"/>
  <c r="S262" i="18"/>
  <c r="S266" i="18"/>
  <c r="S264" i="18"/>
  <c r="S261" i="18"/>
  <c r="S258" i="18"/>
  <c r="F41" i="14"/>
  <c r="F40" i="14"/>
  <c r="O11" i="15"/>
  <c r="F13" i="12"/>
  <c r="D13" i="12"/>
  <c r="M21" i="16"/>
  <c r="C25" i="16"/>
  <c r="M25" i="8"/>
  <c r="R91" i="18"/>
  <c r="R88" i="18"/>
  <c r="R87" i="18"/>
  <c r="R84" i="18"/>
  <c r="R92" i="18"/>
  <c r="R86" i="18"/>
  <c r="R83" i="18"/>
  <c r="R90" i="18"/>
  <c r="R89" i="18"/>
  <c r="R82" i="18"/>
  <c r="R85" i="18"/>
  <c r="C30" i="16"/>
  <c r="M30" i="8"/>
  <c r="F43" i="14"/>
  <c r="O12" i="15"/>
  <c r="F42" i="14"/>
  <c r="I24" i="18"/>
  <c r="N24" i="18" s="1"/>
  <c r="K12" i="13"/>
  <c r="O12" i="16"/>
  <c r="R266" i="18"/>
  <c r="R258" i="18"/>
  <c r="R263" i="18"/>
  <c r="R268" i="18"/>
  <c r="R260" i="18"/>
  <c r="R262" i="18"/>
  <c r="R267" i="18"/>
  <c r="R265" i="18"/>
  <c r="R259" i="18"/>
  <c r="R264" i="18"/>
  <c r="R261" i="18"/>
  <c r="M34" i="16"/>
  <c r="Q261" i="18"/>
  <c r="Q266" i="18"/>
  <c r="Q258" i="18"/>
  <c r="Q263" i="18"/>
  <c r="Q265" i="18"/>
  <c r="Q268" i="18"/>
  <c r="Q267" i="18"/>
  <c r="Q262" i="18"/>
  <c r="Q260" i="18"/>
  <c r="Q259" i="18"/>
  <c r="Q264" i="18"/>
  <c r="I28" i="18"/>
  <c r="N28" i="18" s="1"/>
  <c r="D13" i="13"/>
  <c r="I204" i="18"/>
  <c r="N204" i="18" s="1"/>
  <c r="D30" i="13"/>
  <c r="D5" i="15"/>
  <c r="I17" i="18"/>
  <c r="N17" i="18" s="1"/>
  <c r="D12" i="13"/>
  <c r="D22" i="15"/>
  <c r="V21" i="16"/>
  <c r="R306" i="18"/>
  <c r="R311" i="18"/>
  <c r="R303" i="18"/>
  <c r="R308" i="18"/>
  <c r="R310" i="18"/>
  <c r="R302" i="18"/>
  <c r="R307" i="18"/>
  <c r="R305" i="18"/>
  <c r="R312" i="18"/>
  <c r="R309" i="18"/>
  <c r="R304" i="18"/>
  <c r="Q190" i="18"/>
  <c r="Q182" i="18"/>
  <c r="Q187" i="18"/>
  <c r="Q184" i="18"/>
  <c r="Q189" i="18"/>
  <c r="Q181" i="18"/>
  <c r="Q191" i="18"/>
  <c r="Q186" i="18"/>
  <c r="Q183" i="18"/>
  <c r="Q188" i="18"/>
  <c r="Q185" i="18"/>
  <c r="Q55" i="18"/>
  <c r="Q52" i="18"/>
  <c r="Q57" i="18"/>
  <c r="Q49" i="18"/>
  <c r="Q54" i="18"/>
  <c r="Q59" i="18"/>
  <c r="Q51" i="18"/>
  <c r="Q58" i="18"/>
  <c r="Q50" i="18"/>
  <c r="Q53" i="18"/>
  <c r="Q56" i="18"/>
  <c r="S176" i="18"/>
  <c r="S173" i="18"/>
  <c r="S178" i="18"/>
  <c r="S170" i="18"/>
  <c r="S175" i="18"/>
  <c r="S180" i="18"/>
  <c r="S177" i="18"/>
  <c r="S172" i="18"/>
  <c r="S174" i="18"/>
  <c r="S179" i="18"/>
  <c r="S171" i="18"/>
  <c r="V34" i="16"/>
  <c r="C7" i="16"/>
  <c r="M7" i="8"/>
  <c r="F16" i="12"/>
  <c r="D16" i="12"/>
  <c r="I255" i="18"/>
  <c r="N255" i="18" s="1"/>
  <c r="K34" i="13"/>
  <c r="I211" i="18"/>
  <c r="N211" i="18" s="1"/>
  <c r="K30" i="13"/>
  <c r="R242" i="18"/>
  <c r="R239" i="18"/>
  <c r="R244" i="18"/>
  <c r="R236" i="18"/>
  <c r="R246" i="18"/>
  <c r="R238" i="18"/>
  <c r="R243" i="18"/>
  <c r="R241" i="18"/>
  <c r="R237" i="18"/>
  <c r="R240" i="18"/>
  <c r="R245" i="18"/>
  <c r="Q63" i="18"/>
  <c r="Q68" i="18"/>
  <c r="Q60" i="18"/>
  <c r="Q65" i="18"/>
  <c r="Q70" i="18"/>
  <c r="Q62" i="18"/>
  <c r="Q67" i="18"/>
  <c r="Q69" i="18"/>
  <c r="Q61" i="18"/>
  <c r="Q64" i="18"/>
  <c r="Q66" i="18"/>
  <c r="F18" i="12"/>
  <c r="D18" i="12"/>
  <c r="O21" i="16"/>
  <c r="M24" i="8"/>
  <c r="C24" i="16"/>
  <c r="Q253" i="18"/>
  <c r="Q250" i="18"/>
  <c r="Q255" i="18"/>
  <c r="Q247" i="18"/>
  <c r="Q257" i="18"/>
  <c r="Q249" i="18"/>
  <c r="Q256" i="18"/>
  <c r="Q248" i="18"/>
  <c r="Q251" i="18"/>
  <c r="Q252" i="18"/>
  <c r="Q254" i="18"/>
  <c r="F39" i="14"/>
  <c r="F38" i="14"/>
  <c r="O35" i="15"/>
  <c r="M8" i="16"/>
  <c r="M7" i="16"/>
  <c r="O7" i="16"/>
  <c r="O34" i="16"/>
  <c r="Q245" i="18"/>
  <c r="Q237" i="18"/>
  <c r="Q242" i="18"/>
  <c r="Q239" i="18"/>
  <c r="Q241" i="18"/>
  <c r="Q240" i="18"/>
  <c r="Q236" i="18"/>
  <c r="Q238" i="18"/>
  <c r="Q243" i="18"/>
  <c r="Q244" i="18"/>
  <c r="Q246" i="18"/>
  <c r="R76" i="18"/>
  <c r="R81" i="18"/>
  <c r="R73" i="18"/>
  <c r="R78" i="18"/>
  <c r="R75" i="18"/>
  <c r="R80" i="18"/>
  <c r="R72" i="18"/>
  <c r="R79" i="18"/>
  <c r="R71" i="18"/>
  <c r="R74" i="18"/>
  <c r="R77" i="18"/>
  <c r="I50" i="18"/>
  <c r="N50" i="18" s="1"/>
  <c r="D15" i="13"/>
  <c r="I226" i="18"/>
  <c r="N226" i="18" s="1"/>
  <c r="D32" i="13"/>
  <c r="I39" i="18"/>
  <c r="N39" i="18" s="1"/>
  <c r="D14" i="13"/>
  <c r="I215" i="18"/>
  <c r="N215" i="18" s="1"/>
  <c r="D31" i="13"/>
  <c r="D34" i="15"/>
  <c r="S287" i="18"/>
  <c r="S284" i="18"/>
  <c r="S289" i="18"/>
  <c r="S281" i="18"/>
  <c r="S283" i="18"/>
  <c r="S286" i="18"/>
  <c r="S290" i="18"/>
  <c r="S288" i="18"/>
  <c r="S285" i="18"/>
  <c r="S282" i="18"/>
  <c r="S280" i="18"/>
  <c r="S152" i="18"/>
  <c r="S157" i="18"/>
  <c r="S149" i="18"/>
  <c r="S154" i="18"/>
  <c r="S151" i="18"/>
  <c r="S156" i="18"/>
  <c r="S153" i="18"/>
  <c r="S148" i="18"/>
  <c r="S158" i="18"/>
  <c r="S150" i="18"/>
  <c r="S155" i="18"/>
  <c r="Q31" i="18"/>
  <c r="Q36" i="18"/>
  <c r="Q28" i="18"/>
  <c r="Q33" i="18"/>
  <c r="Q30" i="18"/>
  <c r="Q35" i="18"/>
  <c r="Q27" i="18"/>
  <c r="Q37" i="18"/>
  <c r="Q29" i="18"/>
  <c r="Q32" i="18"/>
  <c r="Q34" i="18"/>
  <c r="I9" i="18"/>
  <c r="N9" i="18" s="1"/>
  <c r="G11" i="13"/>
  <c r="R290" i="18"/>
  <c r="R282" i="18"/>
  <c r="R287" i="18"/>
  <c r="R284" i="18"/>
  <c r="R286" i="18"/>
  <c r="R289" i="18"/>
  <c r="R283" i="18"/>
  <c r="R281" i="18"/>
  <c r="R288" i="18"/>
  <c r="R285" i="18"/>
  <c r="R280" i="18"/>
  <c r="R155" i="18"/>
  <c r="R152" i="18"/>
  <c r="R157" i="18"/>
  <c r="R149" i="18"/>
  <c r="R154" i="18"/>
  <c r="R151" i="18"/>
  <c r="R156" i="18"/>
  <c r="R153" i="18"/>
  <c r="R148" i="18"/>
  <c r="R158" i="18"/>
  <c r="R150" i="18"/>
  <c r="S41" i="18"/>
  <c r="S46" i="18"/>
  <c r="S38" i="18"/>
  <c r="S43" i="18"/>
  <c r="S48" i="18"/>
  <c r="S40" i="18"/>
  <c r="S45" i="18"/>
  <c r="S39" i="18"/>
  <c r="S42" i="18"/>
  <c r="S47" i="18"/>
  <c r="S44" i="18"/>
  <c r="I266" i="18"/>
  <c r="N266" i="18" s="1"/>
  <c r="K35" i="13"/>
  <c r="I35" i="18"/>
  <c r="N35" i="18" s="1"/>
  <c r="K13" i="13"/>
  <c r="F17" i="12"/>
  <c r="D17" i="12"/>
  <c r="R211" i="18"/>
  <c r="R203" i="18"/>
  <c r="R212" i="18"/>
  <c r="R207" i="18"/>
  <c r="R204" i="18"/>
  <c r="R210" i="18"/>
  <c r="R206" i="18"/>
  <c r="R209" i="18"/>
  <c r="R208" i="18"/>
  <c r="R213" i="18"/>
  <c r="R205" i="18"/>
  <c r="Q47" i="18"/>
  <c r="Q39" i="18"/>
  <c r="Q44" i="18"/>
  <c r="Q41" i="18"/>
  <c r="Q46" i="18"/>
  <c r="Q38" i="18"/>
  <c r="Q43" i="18"/>
  <c r="Q40" i="18"/>
  <c r="Q45" i="18"/>
  <c r="Q42" i="18"/>
  <c r="Q48" i="18"/>
  <c r="J29" i="14"/>
  <c r="H29" i="14"/>
  <c r="K29" i="14"/>
  <c r="I29" i="14"/>
  <c r="S233" i="18"/>
  <c r="S235" i="18"/>
  <c r="S232" i="18"/>
  <c r="S229" i="18"/>
  <c r="S225" i="18"/>
  <c r="S228" i="18"/>
  <c r="S234" i="18"/>
  <c r="S227" i="18"/>
  <c r="S226" i="18"/>
  <c r="S230" i="18"/>
  <c r="S231" i="18"/>
  <c r="V10" i="16"/>
  <c r="C11" i="15"/>
  <c r="S224" i="18"/>
  <c r="S216" i="18"/>
  <c r="S222" i="18"/>
  <c r="S218" i="18"/>
  <c r="S221" i="18"/>
  <c r="S214" i="18"/>
  <c r="S217" i="18"/>
  <c r="S220" i="18"/>
  <c r="S219" i="18"/>
  <c r="S223" i="18"/>
  <c r="S215" i="18"/>
  <c r="R52" i="18"/>
  <c r="R57" i="18"/>
  <c r="R49" i="18"/>
  <c r="R54" i="18"/>
  <c r="R59" i="18"/>
  <c r="R51" i="18"/>
  <c r="R56" i="18"/>
  <c r="R58" i="18"/>
  <c r="R50" i="18"/>
  <c r="R53" i="18"/>
  <c r="R55" i="18"/>
  <c r="I247" i="18"/>
  <c r="N247" i="18" s="1"/>
  <c r="C34" i="13"/>
  <c r="C23" i="16"/>
  <c r="M23" i="8"/>
  <c r="R68" i="18"/>
  <c r="R60" i="18"/>
  <c r="R65" i="18"/>
  <c r="R70" i="18"/>
  <c r="R62" i="18"/>
  <c r="R67" i="18"/>
  <c r="R64" i="18"/>
  <c r="R61" i="18"/>
  <c r="R63" i="18"/>
  <c r="R69" i="18"/>
  <c r="R66" i="18"/>
  <c r="I72" i="18"/>
  <c r="N72" i="18" s="1"/>
  <c r="D18" i="13"/>
  <c r="I248" i="18"/>
  <c r="N248" i="18" s="1"/>
  <c r="D34" i="13"/>
  <c r="I61" i="18"/>
  <c r="N61" i="18" s="1"/>
  <c r="D16" i="13"/>
  <c r="I237" i="18"/>
  <c r="N237" i="18" s="1"/>
  <c r="D33" i="13"/>
  <c r="R330" i="18"/>
  <c r="R327" i="18"/>
  <c r="R332" i="18"/>
  <c r="R324" i="18"/>
  <c r="R334" i="18"/>
  <c r="R326" i="18"/>
  <c r="R333" i="18"/>
  <c r="R328" i="18"/>
  <c r="R325" i="18"/>
  <c r="R329" i="18"/>
  <c r="R331" i="18"/>
  <c r="R36" i="18"/>
  <c r="R28" i="18"/>
  <c r="R33" i="18"/>
  <c r="R30" i="18"/>
  <c r="R35" i="18"/>
  <c r="R27" i="18"/>
  <c r="R32" i="18"/>
  <c r="R29" i="18"/>
  <c r="R31" i="18"/>
  <c r="R34" i="18"/>
  <c r="R37" i="18"/>
  <c r="R274" i="18"/>
  <c r="R279" i="18"/>
  <c r="R271" i="18"/>
  <c r="R276" i="18"/>
  <c r="R278" i="18"/>
  <c r="R270" i="18"/>
  <c r="R275" i="18"/>
  <c r="R273" i="18"/>
  <c r="R277" i="18"/>
  <c r="R272" i="18"/>
  <c r="R269" i="18"/>
  <c r="S120" i="18"/>
  <c r="S125" i="18"/>
  <c r="S117" i="18"/>
  <c r="S122" i="18"/>
  <c r="S118" i="18"/>
  <c r="S116" i="18"/>
  <c r="S124" i="18"/>
  <c r="S115" i="18"/>
  <c r="S119" i="18"/>
  <c r="S123" i="18"/>
  <c r="S121" i="18"/>
  <c r="O30" i="16"/>
  <c r="Q277" i="18"/>
  <c r="Q269" i="18"/>
  <c r="Q274" i="18"/>
  <c r="Q279" i="18"/>
  <c r="Q271" i="18"/>
  <c r="Q273" i="18"/>
  <c r="Q278" i="18"/>
  <c r="Q276" i="18"/>
  <c r="Q275" i="18"/>
  <c r="Q270" i="18"/>
  <c r="Q272" i="18"/>
  <c r="R123" i="18"/>
  <c r="R115" i="18"/>
  <c r="R120" i="18"/>
  <c r="R125" i="18"/>
  <c r="R117" i="18"/>
  <c r="R118" i="18"/>
  <c r="R116" i="18"/>
  <c r="R124" i="18"/>
  <c r="R122" i="18"/>
  <c r="R121" i="18"/>
  <c r="R119" i="18"/>
  <c r="V11" i="16"/>
  <c r="M6" i="16"/>
  <c r="I244" i="18"/>
  <c r="N244" i="18" s="1"/>
  <c r="K33" i="13"/>
  <c r="I178" i="18"/>
  <c r="N178" i="18" s="1"/>
  <c r="K27" i="13"/>
  <c r="O5" i="16"/>
  <c r="S168" i="18"/>
  <c r="S160" i="18"/>
  <c r="S165" i="18"/>
  <c r="S162" i="18"/>
  <c r="S167" i="18"/>
  <c r="S159" i="18"/>
  <c r="S169" i="18"/>
  <c r="S164" i="18"/>
  <c r="S161" i="18"/>
  <c r="S166" i="18"/>
  <c r="S163" i="18"/>
  <c r="K31" i="14"/>
  <c r="J31" i="14"/>
  <c r="H31" i="14"/>
  <c r="I31" i="14"/>
  <c r="O9" i="16"/>
  <c r="C22" i="16"/>
  <c r="M22" i="8"/>
  <c r="S57" i="18"/>
  <c r="S49" i="18"/>
  <c r="S54" i="18"/>
  <c r="S59" i="18"/>
  <c r="S51" i="18"/>
  <c r="S56" i="18"/>
  <c r="S53" i="18"/>
  <c r="S50" i="18"/>
  <c r="S52" i="18"/>
  <c r="S58" i="18"/>
  <c r="S55" i="18"/>
  <c r="R179" i="18"/>
  <c r="R171" i="18"/>
  <c r="R176" i="18"/>
  <c r="R173" i="18"/>
  <c r="R178" i="18"/>
  <c r="R170" i="18"/>
  <c r="R175" i="18"/>
  <c r="R180" i="18"/>
  <c r="R177" i="18"/>
  <c r="R172" i="18"/>
  <c r="R174" i="18"/>
  <c r="M29" i="16"/>
  <c r="Q206" i="18"/>
  <c r="Q208" i="18"/>
  <c r="Q205" i="18"/>
  <c r="Q212" i="18"/>
  <c r="Q211" i="18"/>
  <c r="Q207" i="18"/>
  <c r="Q204" i="18"/>
  <c r="Q203" i="18"/>
  <c r="Q210" i="18"/>
  <c r="Q213" i="18"/>
  <c r="Q209" i="18"/>
  <c r="I94" i="18"/>
  <c r="N94" i="18" s="1"/>
  <c r="D20" i="13"/>
  <c r="I83" i="18"/>
  <c r="N83" i="18" s="1"/>
  <c r="D19" i="13"/>
  <c r="I259" i="18"/>
  <c r="N259" i="18" s="1"/>
  <c r="D35" i="13"/>
  <c r="S311" i="18"/>
  <c r="S303" i="18"/>
  <c r="S308" i="18"/>
  <c r="S305" i="18"/>
  <c r="S307" i="18"/>
  <c r="S312" i="18"/>
  <c r="S310" i="18"/>
  <c r="S302" i="18"/>
  <c r="S309" i="18"/>
  <c r="S306" i="18"/>
  <c r="S304" i="18"/>
  <c r="I60" i="18"/>
  <c r="N60" i="18" s="1"/>
  <c r="C16" i="13"/>
  <c r="M25" i="16"/>
  <c r="R250" i="18"/>
  <c r="R255" i="18"/>
  <c r="R247" i="18"/>
  <c r="R252" i="18"/>
  <c r="R254" i="18"/>
  <c r="R257" i="18"/>
  <c r="R251" i="18"/>
  <c r="R249" i="18"/>
  <c r="R256" i="18"/>
  <c r="R248" i="18"/>
  <c r="R253" i="18"/>
  <c r="F47" i="14"/>
  <c r="O14" i="15"/>
  <c r="F46" i="14"/>
  <c r="M30" i="16"/>
  <c r="S239" i="18"/>
  <c r="S244" i="18"/>
  <c r="S236" i="18"/>
  <c r="S241" i="18"/>
  <c r="S243" i="18"/>
  <c r="S246" i="18"/>
  <c r="S238" i="18"/>
  <c r="S237" i="18"/>
  <c r="S242" i="18"/>
  <c r="S245" i="18"/>
  <c r="S240" i="18"/>
  <c r="F33" i="14"/>
  <c r="P8" i="15"/>
  <c r="F34" i="14"/>
  <c r="F32" i="14"/>
  <c r="I82" i="18"/>
  <c r="N82" i="18" s="1"/>
  <c r="C19" i="13"/>
  <c r="O6" i="16"/>
  <c r="I233" i="18"/>
  <c r="N233" i="18" s="1"/>
  <c r="K32" i="13"/>
  <c r="I192" i="18"/>
  <c r="N192" i="18" s="1"/>
  <c r="C29" i="13"/>
  <c r="I222" i="18"/>
  <c r="N222" i="18" s="1"/>
  <c r="K31" i="13"/>
  <c r="M16" i="16"/>
  <c r="M32" i="16"/>
  <c r="O11" i="16"/>
  <c r="C17" i="16"/>
  <c r="M17" i="8"/>
  <c r="O33" i="16"/>
  <c r="L33" i="16"/>
  <c r="L31" i="16"/>
  <c r="L29" i="16"/>
  <c r="L32" i="16"/>
  <c r="L27" i="16"/>
  <c r="L25" i="16"/>
  <c r="L23" i="16"/>
  <c r="L21" i="16"/>
  <c r="L19" i="16"/>
  <c r="L17" i="16"/>
  <c r="L15" i="16"/>
  <c r="L13" i="16"/>
  <c r="L11" i="16"/>
  <c r="L9" i="16"/>
  <c r="L30" i="16"/>
  <c r="L28" i="16"/>
  <c r="L26" i="16"/>
  <c r="L24" i="16"/>
  <c r="L22" i="16"/>
  <c r="L20" i="16"/>
  <c r="L18" i="16"/>
  <c r="L16" i="16"/>
  <c r="L14" i="16"/>
  <c r="L12" i="16"/>
  <c r="L10" i="16"/>
  <c r="L8" i="16"/>
  <c r="L34" i="16"/>
  <c r="Q166" i="18"/>
  <c r="Q163" i="18"/>
  <c r="Q168" i="18"/>
  <c r="Q160" i="18"/>
  <c r="Q165" i="18"/>
  <c r="Q167" i="18"/>
  <c r="Q162" i="18"/>
  <c r="Q159" i="18"/>
  <c r="Q169" i="18"/>
  <c r="Q164" i="18"/>
  <c r="Q161" i="18"/>
  <c r="I159" i="18"/>
  <c r="N159" i="18" s="1"/>
  <c r="C26" i="13"/>
  <c r="M17" i="16"/>
  <c r="M20" i="16"/>
  <c r="S184" i="18"/>
  <c r="S189" i="18"/>
  <c r="S181" i="18"/>
  <c r="S186" i="18"/>
  <c r="S191" i="18"/>
  <c r="S183" i="18"/>
  <c r="S188" i="18"/>
  <c r="S185" i="18"/>
  <c r="S190" i="18"/>
  <c r="S182" i="18"/>
  <c r="S187" i="18"/>
  <c r="Q23" i="18"/>
  <c r="Q20" i="18"/>
  <c r="Q25" i="18"/>
  <c r="Q17" i="18"/>
  <c r="Q22" i="18"/>
  <c r="Q26" i="18"/>
  <c r="Q19" i="18"/>
  <c r="Q16" i="18"/>
  <c r="Q21" i="18"/>
  <c r="Q24" i="18"/>
  <c r="Q18" i="18"/>
  <c r="O5" i="15"/>
  <c r="I116" i="18"/>
  <c r="N116" i="18" s="1"/>
  <c r="D22" i="13"/>
  <c r="Q317" i="18"/>
  <c r="Q322" i="18"/>
  <c r="Q314" i="18"/>
  <c r="Q319" i="18"/>
  <c r="Q321" i="18"/>
  <c r="Q313" i="18"/>
  <c r="Q323" i="18"/>
  <c r="Q318" i="18"/>
  <c r="Q316" i="18"/>
  <c r="Q315" i="18"/>
  <c r="Q320" i="18"/>
  <c r="I105" i="18"/>
  <c r="N105" i="18" s="1"/>
  <c r="D21" i="13"/>
  <c r="S327" i="18"/>
  <c r="S332" i="18"/>
  <c r="S324" i="18"/>
  <c r="S329" i="18"/>
  <c r="S334" i="18"/>
  <c r="S331" i="18"/>
  <c r="S333" i="18"/>
  <c r="S330" i="18"/>
  <c r="S328" i="18"/>
  <c r="S325" i="18"/>
  <c r="S326" i="18"/>
  <c r="O25" i="16"/>
  <c r="Q234" i="18"/>
  <c r="Q231" i="18"/>
  <c r="Q233" i="18"/>
  <c r="Q230" i="18"/>
  <c r="Q229" i="18"/>
  <c r="Q226" i="18"/>
  <c r="Q225" i="18"/>
  <c r="Q232" i="18"/>
  <c r="Q235" i="18"/>
  <c r="Q228" i="18"/>
  <c r="Q227" i="18"/>
  <c r="V12" i="16"/>
  <c r="C13" i="15"/>
  <c r="M28" i="16"/>
  <c r="S208" i="18"/>
  <c r="S211" i="18"/>
  <c r="S207" i="18"/>
  <c r="S204" i="18"/>
  <c r="S210" i="18"/>
  <c r="S203" i="18"/>
  <c r="S206" i="18"/>
  <c r="S209" i="18"/>
  <c r="S213" i="18"/>
  <c r="S205" i="18"/>
  <c r="S212" i="18"/>
  <c r="C5" i="16"/>
  <c r="C6" i="12"/>
  <c r="C16" i="2" s="1"/>
  <c r="M5" i="8"/>
  <c r="M22" i="16"/>
  <c r="M14" i="16"/>
  <c r="D5" i="13"/>
  <c r="B6" i="12"/>
  <c r="I343" i="18"/>
  <c r="N343" i="18" s="1"/>
  <c r="K17" i="13"/>
  <c r="I313" i="18"/>
  <c r="N313" i="18" s="1"/>
  <c r="K26" i="14"/>
  <c r="I26" i="14"/>
  <c r="J26" i="14"/>
  <c r="H26" i="14"/>
  <c r="O32" i="16"/>
  <c r="K34" i="14"/>
  <c r="J34" i="14"/>
  <c r="I34" i="14"/>
  <c r="H34" i="14"/>
  <c r="M11" i="16"/>
  <c r="S295" i="18"/>
  <c r="S300" i="18"/>
  <c r="S292" i="18"/>
  <c r="S297" i="18"/>
  <c r="S299" i="18"/>
  <c r="S291" i="18"/>
  <c r="S294" i="18"/>
  <c r="S301" i="18"/>
  <c r="S298" i="18"/>
  <c r="S296" i="18"/>
  <c r="S293" i="18"/>
  <c r="M16" i="8"/>
  <c r="C16" i="16"/>
  <c r="Q102" i="18"/>
  <c r="Q94" i="18"/>
  <c r="Q99" i="18"/>
  <c r="Q93" i="18"/>
  <c r="Q103" i="18"/>
  <c r="Q98" i="18"/>
  <c r="Q96" i="18"/>
  <c r="Q101" i="18"/>
  <c r="Q97" i="18"/>
  <c r="Q100" i="18"/>
  <c r="Q95" i="18"/>
  <c r="M33" i="16"/>
  <c r="F8" i="12"/>
  <c r="D8" i="12"/>
  <c r="C6" i="16"/>
  <c r="M6" i="8"/>
  <c r="V18" i="16"/>
  <c r="I46" i="18"/>
  <c r="N46" i="18" s="1"/>
  <c r="K14" i="13"/>
  <c r="O17" i="16"/>
  <c r="Q222" i="18"/>
  <c r="Q214" i="18"/>
  <c r="Q219" i="18"/>
  <c r="Q215" i="18"/>
  <c r="Q218" i="18"/>
  <c r="Q221" i="18"/>
  <c r="Q224" i="18"/>
  <c r="Q220" i="18"/>
  <c r="Q223" i="18"/>
  <c r="Q216" i="18"/>
  <c r="Q217" i="18"/>
  <c r="O20" i="16"/>
  <c r="C19" i="16"/>
  <c r="M19" i="8"/>
  <c r="I138" i="18"/>
  <c r="N138" i="18" s="1"/>
  <c r="D24" i="13"/>
  <c r="R322" i="18"/>
  <c r="R314" i="18"/>
  <c r="R319" i="18"/>
  <c r="R316" i="18"/>
  <c r="R318" i="18"/>
  <c r="R320" i="18"/>
  <c r="R317" i="18"/>
  <c r="R313" i="18"/>
  <c r="R321" i="18"/>
  <c r="R315" i="18"/>
  <c r="R323" i="18"/>
  <c r="I127" i="18"/>
  <c r="N127" i="18" s="1"/>
  <c r="D23" i="13"/>
  <c r="V9" i="16"/>
  <c r="O28" i="16"/>
  <c r="Q198" i="18"/>
  <c r="Q201" i="18"/>
  <c r="Q195" i="18"/>
  <c r="Q200" i="18"/>
  <c r="Q192" i="18"/>
  <c r="Q197" i="18"/>
  <c r="Q199" i="18"/>
  <c r="Q194" i="18"/>
  <c r="Q202" i="18"/>
  <c r="Q196" i="18"/>
  <c r="Q193" i="18"/>
  <c r="S25" i="18"/>
  <c r="S17" i="18"/>
  <c r="S22" i="18"/>
  <c r="S19" i="18"/>
  <c r="S24" i="18"/>
  <c r="S16" i="18"/>
  <c r="S21" i="18"/>
  <c r="S18" i="18"/>
  <c r="S23" i="18"/>
  <c r="S26" i="18"/>
  <c r="Q5" i="15"/>
  <c r="S20" i="18"/>
  <c r="O22" i="16"/>
  <c r="O14" i="16"/>
  <c r="V29" i="16" l="1"/>
  <c r="C30" i="15"/>
  <c r="I280" i="18" s="1"/>
  <c r="N280" i="18" s="1"/>
  <c r="S9" i="18"/>
  <c r="S14" i="18"/>
  <c r="S6" i="18"/>
  <c r="S11" i="18"/>
  <c r="S8" i="18"/>
  <c r="S7" i="18"/>
  <c r="S5" i="18"/>
  <c r="S15" i="18"/>
  <c r="S13" i="18"/>
  <c r="S10" i="18"/>
  <c r="S12" i="18"/>
  <c r="G31" i="16"/>
  <c r="R31" i="16" s="1"/>
  <c r="C6" i="15"/>
  <c r="G33" i="16"/>
  <c r="R33" i="16" s="1"/>
  <c r="E34" i="15" s="1"/>
  <c r="G5" i="16"/>
  <c r="R5" i="16" s="1"/>
  <c r="V5" i="16"/>
  <c r="G11" i="16"/>
  <c r="R11" i="16" s="1"/>
  <c r="E12" i="15" s="1"/>
  <c r="G9" i="16"/>
  <c r="R9" i="16" s="1"/>
  <c r="E10" i="15" s="1"/>
  <c r="G26" i="16"/>
  <c r="R26" i="16" s="1"/>
  <c r="E27" i="15" s="1"/>
  <c r="G32" i="16"/>
  <c r="R32" i="16" s="1"/>
  <c r="E33" i="15" s="1"/>
  <c r="G13" i="16"/>
  <c r="R13" i="16" s="1"/>
  <c r="E14" i="15" s="1"/>
  <c r="G34" i="16"/>
  <c r="R34" i="16" s="1"/>
  <c r="E35" i="15" s="1"/>
  <c r="G21" i="16"/>
  <c r="R21" i="16" s="1"/>
  <c r="E22" i="15" s="1"/>
  <c r="G15" i="16"/>
  <c r="R15" i="16" s="1"/>
  <c r="E16" i="15" s="1"/>
  <c r="G29" i="16"/>
  <c r="R29" i="16" s="1"/>
  <c r="E30" i="15" s="1"/>
  <c r="G18" i="16"/>
  <c r="R18" i="16" s="1"/>
  <c r="E19" i="15" s="1"/>
  <c r="G12" i="16"/>
  <c r="R12" i="16" s="1"/>
  <c r="H46" i="14"/>
  <c r="H38" i="14"/>
  <c r="G28" i="16"/>
  <c r="R28" i="16" s="1"/>
  <c r="V28" i="16"/>
  <c r="C29" i="15"/>
  <c r="I181" i="18"/>
  <c r="N181" i="18" s="1"/>
  <c r="C28" i="13"/>
  <c r="I13" i="18"/>
  <c r="N13" i="18" s="1"/>
  <c r="K11" i="13"/>
  <c r="D6" i="12"/>
  <c r="F6" i="12" s="1"/>
  <c r="Q110" i="18"/>
  <c r="Q107" i="18"/>
  <c r="Q112" i="18"/>
  <c r="Q109" i="18"/>
  <c r="Q105" i="18"/>
  <c r="Q114" i="18"/>
  <c r="Q108" i="18"/>
  <c r="Q113" i="18"/>
  <c r="Q111" i="18"/>
  <c r="Q104" i="18"/>
  <c r="Q106" i="18"/>
  <c r="C24" i="15"/>
  <c r="G23" i="16"/>
  <c r="R23" i="16" s="1"/>
  <c r="V23" i="16"/>
  <c r="H39" i="14"/>
  <c r="V30" i="16"/>
  <c r="G30" i="16"/>
  <c r="R30" i="16" s="1"/>
  <c r="C31" i="15"/>
  <c r="H44" i="14"/>
  <c r="R44" i="18"/>
  <c r="R41" i="18"/>
  <c r="R46" i="18"/>
  <c r="R38" i="18"/>
  <c r="R43" i="18"/>
  <c r="R48" i="18"/>
  <c r="R40" i="18"/>
  <c r="R47" i="18"/>
  <c r="R39" i="18"/>
  <c r="R42" i="18"/>
  <c r="R45" i="18"/>
  <c r="H47" i="14"/>
  <c r="Q79" i="18"/>
  <c r="Q71" i="18"/>
  <c r="Q76" i="18"/>
  <c r="Q81" i="18"/>
  <c r="Q73" i="18"/>
  <c r="Q78" i="18"/>
  <c r="Q75" i="18"/>
  <c r="Q72" i="18"/>
  <c r="Q80" i="18"/>
  <c r="Q77" i="18"/>
  <c r="Q74" i="18"/>
  <c r="G20" i="16"/>
  <c r="R20" i="16" s="1"/>
  <c r="E21" i="15" s="1"/>
  <c r="F21" i="15" s="1"/>
  <c r="I160" i="18"/>
  <c r="N160" i="18" s="1"/>
  <c r="D26" i="13"/>
  <c r="C20" i="15"/>
  <c r="G19" i="16"/>
  <c r="R19" i="16" s="1"/>
  <c r="V19" i="16"/>
  <c r="I325" i="18"/>
  <c r="N325" i="18" s="1"/>
  <c r="I193" i="18"/>
  <c r="N193" i="18" s="1"/>
  <c r="D29" i="13"/>
  <c r="H40" i="14"/>
  <c r="P5" i="15"/>
  <c r="G7" i="16"/>
  <c r="R7" i="16" s="1"/>
  <c r="V7" i="16"/>
  <c r="C8" i="15"/>
  <c r="H41" i="14"/>
  <c r="G6" i="16"/>
  <c r="R6" i="16" s="1"/>
  <c r="V6" i="16"/>
  <c r="C7" i="15"/>
  <c r="G16" i="16"/>
  <c r="R16" i="16" s="1"/>
  <c r="V16" i="16"/>
  <c r="C17" i="15"/>
  <c r="C18" i="15"/>
  <c r="V17" i="16"/>
  <c r="G17" i="16"/>
  <c r="R17" i="16" s="1"/>
  <c r="I71" i="18"/>
  <c r="N71" i="18" s="1"/>
  <c r="C18" i="13"/>
  <c r="G24" i="16"/>
  <c r="R24" i="16" s="1"/>
  <c r="V24" i="16"/>
  <c r="C25" i="15"/>
  <c r="H42" i="14"/>
  <c r="F10" i="12"/>
  <c r="D10" i="12"/>
  <c r="I49" i="18"/>
  <c r="N49" i="18" s="1"/>
  <c r="C15" i="13"/>
  <c r="G27" i="16"/>
  <c r="R27" i="16" s="1"/>
  <c r="E28" i="15" s="1"/>
  <c r="F28" i="15" s="1"/>
  <c r="I93" i="18"/>
  <c r="N93" i="18" s="1"/>
  <c r="C20" i="13"/>
  <c r="E13" i="15"/>
  <c r="I6" i="18"/>
  <c r="N6" i="18" s="1"/>
  <c r="D11" i="13"/>
  <c r="Q86" i="18"/>
  <c r="Q91" i="18"/>
  <c r="Q89" i="18"/>
  <c r="Q87" i="18"/>
  <c r="Q84" i="18"/>
  <c r="Q92" i="18"/>
  <c r="Q83" i="18"/>
  <c r="Q90" i="18"/>
  <c r="Q88" i="18"/>
  <c r="Q82" i="18"/>
  <c r="Q85" i="18"/>
  <c r="R25" i="16"/>
  <c r="C26" i="15"/>
  <c r="V25" i="16"/>
  <c r="G25" i="16"/>
  <c r="H45" i="14"/>
  <c r="I258" i="18"/>
  <c r="N258" i="18" s="1"/>
  <c r="C35" i="13"/>
  <c r="B7" i="12"/>
  <c r="F5" i="13"/>
  <c r="Q15" i="18"/>
  <c r="Q7" i="18"/>
  <c r="Q12" i="18"/>
  <c r="Q9" i="18"/>
  <c r="Q14" i="18"/>
  <c r="Q6" i="18"/>
  <c r="Q8" i="18"/>
  <c r="Q10" i="18"/>
  <c r="Q5" i="18"/>
  <c r="Q11" i="18"/>
  <c r="Q13" i="18"/>
  <c r="G22" i="16"/>
  <c r="V22" i="16"/>
  <c r="C23" i="15"/>
  <c r="R22" i="16"/>
  <c r="G10" i="16"/>
  <c r="R10" i="16" s="1"/>
  <c r="E11" i="15" s="1"/>
  <c r="F11" i="15" s="1"/>
  <c r="Q341" i="18"/>
  <c r="Q338" i="18"/>
  <c r="Q343" i="18"/>
  <c r="Q335" i="18"/>
  <c r="Q340" i="18"/>
  <c r="Q345" i="18"/>
  <c r="Q337" i="18"/>
  <c r="Q344" i="18"/>
  <c r="Q342" i="18"/>
  <c r="Q336" i="18"/>
  <c r="Q339" i="18"/>
  <c r="H43" i="14"/>
  <c r="I303" i="18"/>
  <c r="N303" i="18" s="1"/>
  <c r="E32" i="15"/>
  <c r="I304" i="18" s="1"/>
  <c r="N304" i="18" s="1"/>
  <c r="G14" i="16"/>
  <c r="R14" i="16" s="1"/>
  <c r="V14" i="16"/>
  <c r="C15" i="15"/>
  <c r="G8" i="16"/>
  <c r="R8" i="16" s="1"/>
  <c r="E9" i="15" s="1"/>
  <c r="G40" i="14" l="1"/>
  <c r="G41" i="14"/>
  <c r="F32" i="15"/>
  <c r="I326" i="18"/>
  <c r="N326" i="18" s="1"/>
  <c r="F34" i="15"/>
  <c r="I261" i="18"/>
  <c r="N261" i="18" s="1"/>
  <c r="N268" i="18"/>
  <c r="N267" i="18"/>
  <c r="M28" i="15"/>
  <c r="I268" i="18" s="1"/>
  <c r="J28" i="15"/>
  <c r="I28" i="15"/>
  <c r="N28" i="15"/>
  <c r="F35" i="13"/>
  <c r="B58" i="13" s="1"/>
  <c r="I51" i="18"/>
  <c r="N51" i="18" s="1"/>
  <c r="E15" i="13"/>
  <c r="F9" i="15"/>
  <c r="C7" i="12"/>
  <c r="D7" i="12" s="1"/>
  <c r="F7" i="12" s="1"/>
  <c r="I40" i="14"/>
  <c r="J40" i="14" s="1"/>
  <c r="K40" i="14" s="1"/>
  <c r="I291" i="18"/>
  <c r="N291" i="18" s="1"/>
  <c r="E31" i="15"/>
  <c r="I293" i="18" s="1"/>
  <c r="N293" i="18" s="1"/>
  <c r="I214" i="18"/>
  <c r="N214" i="18" s="1"/>
  <c r="E24" i="15"/>
  <c r="F24" i="15" s="1"/>
  <c r="C31" i="13"/>
  <c r="I194" i="18"/>
  <c r="N194" i="18" s="1"/>
  <c r="E29" i="13"/>
  <c r="F22" i="15"/>
  <c r="N312" i="18"/>
  <c r="N311" i="18"/>
  <c r="I305" i="18"/>
  <c r="N305" i="18" s="1"/>
  <c r="J32" i="15"/>
  <c r="I309" i="18" s="1"/>
  <c r="N309" i="18" s="1"/>
  <c r="N32" i="15"/>
  <c r="M32" i="15"/>
  <c r="I312" i="18" s="1"/>
  <c r="I32" i="15"/>
  <c r="I308" i="18" s="1"/>
  <c r="N308" i="18" s="1"/>
  <c r="I95" i="18"/>
  <c r="N95" i="18" s="1"/>
  <c r="E20" i="13"/>
  <c r="I203" i="18"/>
  <c r="N203" i="18" s="1"/>
  <c r="E23" i="15"/>
  <c r="F23" i="15" s="1"/>
  <c r="C30" i="13"/>
  <c r="I236" i="18"/>
  <c r="N236" i="18" s="1"/>
  <c r="E26" i="15"/>
  <c r="F26" i="15" s="1"/>
  <c r="C33" i="13"/>
  <c r="F13" i="15"/>
  <c r="I73" i="18"/>
  <c r="N73" i="18" s="1"/>
  <c r="E18" i="13"/>
  <c r="I137" i="18"/>
  <c r="N137" i="18" s="1"/>
  <c r="C24" i="13"/>
  <c r="E17" i="15"/>
  <c r="I41" i="14"/>
  <c r="J41" i="14" s="1"/>
  <c r="K41" i="14" s="1"/>
  <c r="I170" i="18"/>
  <c r="N170" i="18" s="1"/>
  <c r="C27" i="13"/>
  <c r="F20" i="15"/>
  <c r="E20" i="15"/>
  <c r="I183" i="18"/>
  <c r="N183" i="18" s="1"/>
  <c r="E28" i="13"/>
  <c r="I337" i="18"/>
  <c r="N337" i="18" s="1"/>
  <c r="E17" i="13"/>
  <c r="F35" i="15"/>
  <c r="N190" i="18"/>
  <c r="N191" i="18"/>
  <c r="I184" i="18"/>
  <c r="N184" i="18" s="1"/>
  <c r="I21" i="15"/>
  <c r="F28" i="13"/>
  <c r="B51" i="13" s="1"/>
  <c r="J21" i="15"/>
  <c r="N21" i="15"/>
  <c r="M21" i="15"/>
  <c r="I191" i="18" s="1"/>
  <c r="I106" i="18"/>
  <c r="N106" i="18" s="1"/>
  <c r="E21" i="13"/>
  <c r="F14" i="15"/>
  <c r="C5" i="15"/>
  <c r="I16" i="18"/>
  <c r="N16" i="18" s="1"/>
  <c r="E6" i="15"/>
  <c r="C12" i="13"/>
  <c r="I260" i="18"/>
  <c r="N260" i="18" s="1"/>
  <c r="E35" i="13"/>
  <c r="I74" i="18"/>
  <c r="N74" i="18" s="1"/>
  <c r="N81" i="18"/>
  <c r="N80" i="18"/>
  <c r="J11" i="15"/>
  <c r="F18" i="13"/>
  <c r="B41" i="13" s="1"/>
  <c r="I11" i="15"/>
  <c r="N11" i="15"/>
  <c r="M11" i="15"/>
  <c r="I81" i="18" s="1"/>
  <c r="I38" i="18"/>
  <c r="N38" i="18" s="1"/>
  <c r="C14" i="13"/>
  <c r="E8" i="15"/>
  <c r="F8" i="15" s="1"/>
  <c r="I315" i="18"/>
  <c r="N315" i="18" s="1"/>
  <c r="F33" i="15"/>
  <c r="I115" i="18"/>
  <c r="N115" i="18" s="1"/>
  <c r="C22" i="13"/>
  <c r="E15" i="15"/>
  <c r="I249" i="18"/>
  <c r="N249" i="18" s="1"/>
  <c r="E34" i="13"/>
  <c r="F27" i="15"/>
  <c r="H5" i="13"/>
  <c r="I269" i="18"/>
  <c r="N269" i="18" s="1"/>
  <c r="E29" i="15"/>
  <c r="I271" i="18" s="1"/>
  <c r="N271" i="18" s="1"/>
  <c r="I161" i="18"/>
  <c r="N161" i="18" s="1"/>
  <c r="E26" i="13"/>
  <c r="F19" i="15"/>
  <c r="I62" i="18"/>
  <c r="N62" i="18" s="1"/>
  <c r="E16" i="13"/>
  <c r="F10" i="15"/>
  <c r="I225" i="18"/>
  <c r="N225" i="18" s="1"/>
  <c r="C32" i="13"/>
  <c r="E25" i="15"/>
  <c r="I27" i="18"/>
  <c r="N27" i="18" s="1"/>
  <c r="E7" i="15"/>
  <c r="C13" i="13"/>
  <c r="I282" i="18"/>
  <c r="N282" i="18" s="1"/>
  <c r="F30" i="15"/>
  <c r="I84" i="18"/>
  <c r="N84" i="18" s="1"/>
  <c r="E19" i="13"/>
  <c r="F12" i="15"/>
  <c r="I148" i="18"/>
  <c r="N148" i="18" s="1"/>
  <c r="E18" i="15"/>
  <c r="F18" i="15" s="1"/>
  <c r="C25" i="13"/>
  <c r="R12" i="18"/>
  <c r="R9" i="18"/>
  <c r="R14" i="18"/>
  <c r="R6" i="18"/>
  <c r="R11" i="18"/>
  <c r="R10" i="18"/>
  <c r="R7" i="18"/>
  <c r="R5" i="18"/>
  <c r="R15" i="18"/>
  <c r="R13" i="18"/>
  <c r="R8" i="18"/>
  <c r="I128" i="18"/>
  <c r="N128" i="18" s="1"/>
  <c r="E23" i="13"/>
  <c r="F16" i="15"/>
  <c r="B24" i="12"/>
  <c r="J5" i="13" l="1"/>
  <c r="B21" i="12"/>
  <c r="N158" i="18"/>
  <c r="N157" i="18"/>
  <c r="I151" i="18"/>
  <c r="N151" i="18" s="1"/>
  <c r="J18" i="15"/>
  <c r="I18" i="15"/>
  <c r="N18" i="15"/>
  <c r="F25" i="13"/>
  <c r="B48" i="13" s="1"/>
  <c r="M18" i="15"/>
  <c r="I158" i="18" s="1"/>
  <c r="I29" i="18"/>
  <c r="N29" i="18" s="1"/>
  <c r="E13" i="13"/>
  <c r="N136" i="18"/>
  <c r="I129" i="18"/>
  <c r="N129" i="18" s="1"/>
  <c r="N135" i="18"/>
  <c r="J16" i="15"/>
  <c r="I16" i="15"/>
  <c r="F23" i="13"/>
  <c r="B46" i="13" s="1"/>
  <c r="N16" i="15"/>
  <c r="M16" i="15"/>
  <c r="I136" i="18" s="1"/>
  <c r="F29" i="15"/>
  <c r="N322" i="18"/>
  <c r="N323" i="18"/>
  <c r="I316" i="18"/>
  <c r="N316" i="18" s="1"/>
  <c r="I33" i="15"/>
  <c r="I319" i="18" s="1"/>
  <c r="N319" i="18" s="1"/>
  <c r="N33" i="15"/>
  <c r="J33" i="15"/>
  <c r="I320" i="18" s="1"/>
  <c r="N320" i="18" s="1"/>
  <c r="M33" i="15"/>
  <c r="I323" i="18" s="1"/>
  <c r="I77" i="18"/>
  <c r="N77" i="18" s="1"/>
  <c r="I18" i="13"/>
  <c r="I5" i="18"/>
  <c r="N5" i="18" s="1"/>
  <c r="C11" i="13"/>
  <c r="I188" i="18"/>
  <c r="N188" i="18" s="1"/>
  <c r="J28" i="13"/>
  <c r="I205" i="18"/>
  <c r="N205" i="18" s="1"/>
  <c r="E30" i="13"/>
  <c r="I264" i="18"/>
  <c r="N264" i="18" s="1"/>
  <c r="I35" i="13"/>
  <c r="N113" i="18"/>
  <c r="N114" i="18"/>
  <c r="I107" i="18"/>
  <c r="N107" i="18" s="1"/>
  <c r="J14" i="15"/>
  <c r="I14" i="15"/>
  <c r="N14" i="15"/>
  <c r="M14" i="15"/>
  <c r="I114" i="18" s="1"/>
  <c r="F21" i="13"/>
  <c r="B44" i="13" s="1"/>
  <c r="G46" i="14"/>
  <c r="I46" i="14" s="1"/>
  <c r="J46" i="14" s="1"/>
  <c r="K46" i="14" s="1"/>
  <c r="G47" i="14"/>
  <c r="I47" i="14" s="1"/>
  <c r="J47" i="14" s="1"/>
  <c r="K47" i="14" s="1"/>
  <c r="N102" i="18"/>
  <c r="N103" i="18"/>
  <c r="I96" i="18"/>
  <c r="N96" i="18" s="1"/>
  <c r="J13" i="15"/>
  <c r="I13" i="15"/>
  <c r="F20" i="13"/>
  <c r="B43" i="13" s="1"/>
  <c r="N13" i="15"/>
  <c r="M13" i="15"/>
  <c r="I103" i="18" s="1"/>
  <c r="G44" i="14"/>
  <c r="I44" i="14" s="1"/>
  <c r="J44" i="14" s="1"/>
  <c r="K44" i="14" s="1"/>
  <c r="G45" i="14"/>
  <c r="I45" i="14" s="1"/>
  <c r="J45" i="14" s="1"/>
  <c r="K45" i="14" s="1"/>
  <c r="I265" i="18"/>
  <c r="N265" i="18" s="1"/>
  <c r="J35" i="13"/>
  <c r="F7" i="15"/>
  <c r="I63" i="18"/>
  <c r="N63" i="18" s="1"/>
  <c r="N70" i="18"/>
  <c r="N69" i="18"/>
  <c r="J10" i="15"/>
  <c r="I10" i="15"/>
  <c r="N10" i="15"/>
  <c r="M10" i="15"/>
  <c r="I70" i="18" s="1"/>
  <c r="F16" i="13"/>
  <c r="B39" i="13" s="1"/>
  <c r="I40" i="18"/>
  <c r="N40" i="18" s="1"/>
  <c r="E14" i="13"/>
  <c r="I78" i="18"/>
  <c r="N78" i="18" s="1"/>
  <c r="J18" i="13"/>
  <c r="I187" i="18"/>
  <c r="N187" i="18" s="1"/>
  <c r="I28" i="13"/>
  <c r="N245" i="18"/>
  <c r="I239" i="18"/>
  <c r="N239" i="18" s="1"/>
  <c r="N246" i="18"/>
  <c r="M26" i="15"/>
  <c r="I246" i="18" s="1"/>
  <c r="J26" i="15"/>
  <c r="I26" i="15"/>
  <c r="N26" i="15"/>
  <c r="F33" i="13"/>
  <c r="B56" i="13" s="1"/>
  <c r="I216" i="18"/>
  <c r="N216" i="18" s="1"/>
  <c r="E31" i="13"/>
  <c r="F21" i="12"/>
  <c r="D21" i="12"/>
  <c r="N47" i="18"/>
  <c r="I41" i="18"/>
  <c r="N41" i="18" s="1"/>
  <c r="N48" i="18"/>
  <c r="G32" i="14"/>
  <c r="G34" i="14"/>
  <c r="J8" i="15"/>
  <c r="I8" i="15"/>
  <c r="G33" i="14"/>
  <c r="N8" i="15"/>
  <c r="M8" i="15"/>
  <c r="I48" i="18" s="1"/>
  <c r="F14" i="13"/>
  <c r="I139" i="18"/>
  <c r="N139" i="18" s="1"/>
  <c r="E24" i="13"/>
  <c r="N223" i="18"/>
  <c r="N224" i="18"/>
  <c r="F31" i="13"/>
  <c r="B54" i="13" s="1"/>
  <c r="N24" i="15"/>
  <c r="I217" i="18"/>
  <c r="N217" i="18" s="1"/>
  <c r="J24" i="15"/>
  <c r="I24" i="15"/>
  <c r="M24" i="15"/>
  <c r="I224" i="18" s="1"/>
  <c r="N58" i="18"/>
  <c r="I52" i="18"/>
  <c r="N52" i="18" s="1"/>
  <c r="N59" i="18"/>
  <c r="J9" i="15"/>
  <c r="F15" i="13"/>
  <c r="B38" i="13" s="1"/>
  <c r="N9" i="15"/>
  <c r="M9" i="15"/>
  <c r="I59" i="18" s="1"/>
  <c r="I117" i="18"/>
  <c r="N117" i="18" s="1"/>
  <c r="E22" i="13"/>
  <c r="F17" i="15"/>
  <c r="I238" i="18"/>
  <c r="N238" i="18" s="1"/>
  <c r="E33" i="13"/>
  <c r="N201" i="18"/>
  <c r="I195" i="18"/>
  <c r="N195" i="18" s="1"/>
  <c r="N202" i="18"/>
  <c r="J22" i="15"/>
  <c r="I22" i="15"/>
  <c r="N22" i="15"/>
  <c r="F29" i="13"/>
  <c r="B52" i="13" s="1"/>
  <c r="M22" i="15"/>
  <c r="I202" i="18" s="1"/>
  <c r="N169" i="18"/>
  <c r="N168" i="18"/>
  <c r="I162" i="18"/>
  <c r="N162" i="18" s="1"/>
  <c r="N19" i="15"/>
  <c r="F26" i="13"/>
  <c r="B49" i="13" s="1"/>
  <c r="M19" i="15"/>
  <c r="I169" i="18" s="1"/>
  <c r="J19" i="15"/>
  <c r="I19" i="15"/>
  <c r="I18" i="18"/>
  <c r="N18" i="18" s="1"/>
  <c r="E5" i="15"/>
  <c r="E12" i="13"/>
  <c r="I172" i="18"/>
  <c r="N172" i="18" s="1"/>
  <c r="E27" i="13"/>
  <c r="F31" i="15"/>
  <c r="I283" i="18"/>
  <c r="N283" i="18" s="1"/>
  <c r="N290" i="18"/>
  <c r="N289" i="18"/>
  <c r="M30" i="15"/>
  <c r="I290" i="18" s="1"/>
  <c r="N30" i="15"/>
  <c r="J30" i="15"/>
  <c r="I287" i="18" s="1"/>
  <c r="N287" i="18" s="1"/>
  <c r="I30" i="15"/>
  <c r="I286" i="18" s="1"/>
  <c r="N286" i="18" s="1"/>
  <c r="I227" i="18"/>
  <c r="N227" i="18" s="1"/>
  <c r="E32" i="13"/>
  <c r="F15" i="15"/>
  <c r="F6" i="15"/>
  <c r="N344" i="18"/>
  <c r="I338" i="18"/>
  <c r="N338" i="18" s="1"/>
  <c r="N345" i="18"/>
  <c r="M35" i="15"/>
  <c r="I345" i="18" s="1"/>
  <c r="I35" i="15"/>
  <c r="J35" i="15"/>
  <c r="F17" i="13"/>
  <c r="B40" i="13" s="1"/>
  <c r="N35" i="15"/>
  <c r="G39" i="14"/>
  <c r="I39" i="14" s="1"/>
  <c r="J39" i="14" s="1"/>
  <c r="K39" i="14" s="1"/>
  <c r="G38" i="14"/>
  <c r="I38" i="14" s="1"/>
  <c r="J38" i="14" s="1"/>
  <c r="K38" i="14" s="1"/>
  <c r="N179" i="18"/>
  <c r="I173" i="18"/>
  <c r="N173" i="18" s="1"/>
  <c r="N180" i="18"/>
  <c r="N20" i="15"/>
  <c r="M20" i="15"/>
  <c r="I180" i="18" s="1"/>
  <c r="J20" i="15"/>
  <c r="I20" i="15"/>
  <c r="F27" i="13"/>
  <c r="B50" i="13" s="1"/>
  <c r="N212" i="18"/>
  <c r="N213" i="18"/>
  <c r="N23" i="15"/>
  <c r="M23" i="15"/>
  <c r="I213" i="18" s="1"/>
  <c r="I206" i="18"/>
  <c r="N206" i="18" s="1"/>
  <c r="J23" i="15"/>
  <c r="I23" i="15"/>
  <c r="F30" i="13"/>
  <c r="B53" i="13" s="1"/>
  <c r="N333" i="18"/>
  <c r="I327" i="18"/>
  <c r="N327" i="18" s="1"/>
  <c r="N334" i="18"/>
  <c r="M34" i="15"/>
  <c r="I334" i="18" s="1"/>
  <c r="J34" i="15"/>
  <c r="I331" i="18" s="1"/>
  <c r="N331" i="18" s="1"/>
  <c r="I34" i="15"/>
  <c r="I330" i="18" s="1"/>
  <c r="N330" i="18" s="1"/>
  <c r="N34" i="15"/>
  <c r="I85" i="18"/>
  <c r="N85" i="18" s="1"/>
  <c r="N92" i="18"/>
  <c r="N91" i="18"/>
  <c r="J12" i="15"/>
  <c r="I12" i="15"/>
  <c r="N12" i="15"/>
  <c r="M12" i="15"/>
  <c r="I92" i="18" s="1"/>
  <c r="F19" i="13"/>
  <c r="B42" i="13" s="1"/>
  <c r="G42" i="14"/>
  <c r="I42" i="14" s="1"/>
  <c r="J42" i="14" s="1"/>
  <c r="K42" i="14" s="1"/>
  <c r="G43" i="14"/>
  <c r="I43" i="14" s="1"/>
  <c r="J43" i="14" s="1"/>
  <c r="K43" i="14" s="1"/>
  <c r="I150" i="18"/>
  <c r="N150" i="18" s="1"/>
  <c r="E25" i="13"/>
  <c r="F25" i="15"/>
  <c r="N256" i="18"/>
  <c r="N257" i="18"/>
  <c r="I250" i="18"/>
  <c r="N250" i="18" s="1"/>
  <c r="M27" i="15"/>
  <c r="I257" i="18" s="1"/>
  <c r="F34" i="13"/>
  <c r="B57" i="13" s="1"/>
  <c r="N27" i="15"/>
  <c r="J27" i="15"/>
  <c r="I27" i="15"/>
  <c r="I209" i="18" l="1"/>
  <c r="N209" i="18" s="1"/>
  <c r="I30" i="13"/>
  <c r="I176" i="18"/>
  <c r="N176" i="18" s="1"/>
  <c r="I27" i="13"/>
  <c r="I7" i="18"/>
  <c r="N7" i="18" s="1"/>
  <c r="E11" i="13"/>
  <c r="I221" i="18"/>
  <c r="N221" i="18" s="1"/>
  <c r="J31" i="13"/>
  <c r="I66" i="18"/>
  <c r="N66" i="18" s="1"/>
  <c r="I16" i="13"/>
  <c r="I111" i="18"/>
  <c r="N111" i="18" s="1"/>
  <c r="J21" i="13"/>
  <c r="I210" i="18"/>
  <c r="N210" i="18" s="1"/>
  <c r="J30" i="13"/>
  <c r="I177" i="18"/>
  <c r="N177" i="18" s="1"/>
  <c r="J27" i="13"/>
  <c r="N26" i="18"/>
  <c r="N25" i="18"/>
  <c r="G26" i="14"/>
  <c r="J6" i="15"/>
  <c r="M6" i="15"/>
  <c r="I26" i="18" s="1"/>
  <c r="F5" i="15"/>
  <c r="G27" i="14"/>
  <c r="I19" i="18"/>
  <c r="N19" i="18" s="1"/>
  <c r="G28" i="14"/>
  <c r="N6" i="15"/>
  <c r="I6" i="15"/>
  <c r="F12" i="13"/>
  <c r="I242" i="18"/>
  <c r="N242" i="18" s="1"/>
  <c r="I33" i="13"/>
  <c r="J16" i="13"/>
  <c r="I67" i="18"/>
  <c r="N67" i="18" s="1"/>
  <c r="I132" i="18"/>
  <c r="N132" i="18" s="1"/>
  <c r="I23" i="13"/>
  <c r="I118" i="18"/>
  <c r="N118" i="18" s="1"/>
  <c r="N125" i="18"/>
  <c r="N124" i="18"/>
  <c r="J15" i="15"/>
  <c r="I15" i="15"/>
  <c r="N15" i="15"/>
  <c r="M15" i="15"/>
  <c r="I125" i="18" s="1"/>
  <c r="F22" i="13"/>
  <c r="B45" i="13" s="1"/>
  <c r="G49" i="14"/>
  <c r="I49" i="14" s="1"/>
  <c r="J49" i="14" s="1"/>
  <c r="K49" i="14" s="1"/>
  <c r="G48" i="14"/>
  <c r="I48" i="14" s="1"/>
  <c r="J48" i="14" s="1"/>
  <c r="K48" i="14" s="1"/>
  <c r="I165" i="18"/>
  <c r="N165" i="18" s="1"/>
  <c r="I26" i="13"/>
  <c r="I56" i="18"/>
  <c r="N56" i="18" s="1"/>
  <c r="J15" i="13"/>
  <c r="I243" i="18"/>
  <c r="N243" i="18" s="1"/>
  <c r="J33" i="13"/>
  <c r="I133" i="18"/>
  <c r="N133" i="18" s="1"/>
  <c r="J23" i="13"/>
  <c r="I166" i="18"/>
  <c r="N166" i="18" s="1"/>
  <c r="J26" i="13"/>
  <c r="I154" i="18"/>
  <c r="N154" i="18" s="1"/>
  <c r="I25" i="13"/>
  <c r="I253" i="18"/>
  <c r="N253" i="18" s="1"/>
  <c r="I34" i="13"/>
  <c r="N234" i="18"/>
  <c r="I228" i="18"/>
  <c r="N228" i="18" s="1"/>
  <c r="N235" i="18"/>
  <c r="I25" i="15"/>
  <c r="N25" i="15"/>
  <c r="F32" i="13"/>
  <c r="B55" i="13" s="1"/>
  <c r="M25" i="15"/>
  <c r="I235" i="18" s="1"/>
  <c r="J25" i="15"/>
  <c r="I88" i="18"/>
  <c r="N88" i="18" s="1"/>
  <c r="I19" i="13"/>
  <c r="I342" i="18"/>
  <c r="N342" i="18" s="1"/>
  <c r="J17" i="13"/>
  <c r="I254" i="18"/>
  <c r="N254" i="18" s="1"/>
  <c r="J34" i="13"/>
  <c r="I89" i="18"/>
  <c r="N89" i="18" s="1"/>
  <c r="J19" i="13"/>
  <c r="I341" i="18"/>
  <c r="N341" i="18" s="1"/>
  <c r="I17" i="13"/>
  <c r="N301" i="18"/>
  <c r="N300" i="18"/>
  <c r="I294" i="18"/>
  <c r="N294" i="18" s="1"/>
  <c r="I31" i="15"/>
  <c r="I297" i="18" s="1"/>
  <c r="N297" i="18" s="1"/>
  <c r="N31" i="15"/>
  <c r="M31" i="15"/>
  <c r="I301" i="18" s="1"/>
  <c r="J31" i="15"/>
  <c r="I298" i="18" s="1"/>
  <c r="N298" i="18" s="1"/>
  <c r="N147" i="18"/>
  <c r="I140" i="18"/>
  <c r="N140" i="18" s="1"/>
  <c r="N146" i="18"/>
  <c r="J17" i="15"/>
  <c r="I17" i="15"/>
  <c r="N17" i="15"/>
  <c r="M17" i="15"/>
  <c r="I147" i="18" s="1"/>
  <c r="F24" i="13"/>
  <c r="B47" i="13" s="1"/>
  <c r="I44" i="18"/>
  <c r="N44" i="18" s="1"/>
  <c r="I14" i="13"/>
  <c r="B5" i="13"/>
  <c r="G9" i="1"/>
  <c r="I155" i="18"/>
  <c r="N155" i="18" s="1"/>
  <c r="J25" i="13"/>
  <c r="I198" i="18"/>
  <c r="N198" i="18" s="1"/>
  <c r="I29" i="13"/>
  <c r="I45" i="18"/>
  <c r="N45" i="18" s="1"/>
  <c r="J14" i="13"/>
  <c r="N36" i="18"/>
  <c r="G30" i="14"/>
  <c r="N37" i="18"/>
  <c r="I30" i="18"/>
  <c r="N30" i="18" s="1"/>
  <c r="G31" i="14"/>
  <c r="F13" i="13"/>
  <c r="J7" i="15"/>
  <c r="I7" i="15"/>
  <c r="G29" i="14"/>
  <c r="N7" i="15"/>
  <c r="M7" i="15"/>
  <c r="I37" i="18" s="1"/>
  <c r="I99" i="18"/>
  <c r="N99" i="18" s="1"/>
  <c r="I20" i="13"/>
  <c r="I272" i="18"/>
  <c r="N272" i="18" s="1"/>
  <c r="N279" i="18"/>
  <c r="N278" i="18"/>
  <c r="N29" i="15"/>
  <c r="M29" i="15"/>
  <c r="I279" i="18" s="1"/>
  <c r="J29" i="15"/>
  <c r="I276" i="18" s="1"/>
  <c r="N276" i="18" s="1"/>
  <c r="I29" i="15"/>
  <c r="I275" i="18" s="1"/>
  <c r="N275" i="18" s="1"/>
  <c r="I199" i="18"/>
  <c r="N199" i="18" s="1"/>
  <c r="J29" i="13"/>
  <c r="I100" i="18"/>
  <c r="N100" i="18" s="1"/>
  <c r="J20" i="13"/>
  <c r="I220" i="18"/>
  <c r="N220" i="18" s="1"/>
  <c r="I31" i="13"/>
  <c r="I110" i="18"/>
  <c r="N110" i="18" s="1"/>
  <c r="I21" i="13"/>
  <c r="I121" i="18" l="1"/>
  <c r="N121" i="18" s="1"/>
  <c r="I22" i="13"/>
  <c r="I33" i="18"/>
  <c r="N33" i="18" s="1"/>
  <c r="I13" i="13"/>
  <c r="I231" i="18"/>
  <c r="N231" i="18" s="1"/>
  <c r="I32" i="13"/>
  <c r="I122" i="18"/>
  <c r="N122" i="18" s="1"/>
  <c r="J22" i="13"/>
  <c r="N15" i="18"/>
  <c r="I8" i="18"/>
  <c r="N8" i="18" s="1"/>
  <c r="F11" i="13"/>
  <c r="B37" i="13" s="1"/>
  <c r="N14" i="18"/>
  <c r="J5" i="15"/>
  <c r="M5" i="15"/>
  <c r="I15" i="18" s="1"/>
  <c r="I5" i="15"/>
  <c r="N5" i="15"/>
  <c r="I34" i="18"/>
  <c r="N34" i="18" s="1"/>
  <c r="J13" i="13"/>
  <c r="I23" i="18"/>
  <c r="N23" i="18" s="1"/>
  <c r="J12" i="13"/>
  <c r="I22" i="18"/>
  <c r="N22" i="18" s="1"/>
  <c r="I12" i="13"/>
  <c r="I232" i="18"/>
  <c r="N232" i="18" s="1"/>
  <c r="J32" i="13"/>
  <c r="I143" i="18"/>
  <c r="N143" i="18" s="1"/>
  <c r="I24" i="13"/>
  <c r="I144" i="18"/>
  <c r="N144" i="18" s="1"/>
  <c r="J24" i="13"/>
  <c r="I12" i="18" l="1"/>
  <c r="N12" i="18" s="1"/>
  <c r="J11" i="13"/>
  <c r="I11" i="18"/>
  <c r="N11" i="18" s="1"/>
  <c r="I11" i="13"/>
</calcChain>
</file>

<file path=xl/sharedStrings.xml><?xml version="1.0" encoding="utf-8"?>
<sst xmlns="http://schemas.openxmlformats.org/spreadsheetml/2006/main" count="4329" uniqueCount="711">
  <si>
    <t>01 Start Here</t>
  </si>
  <si>
    <t>Work through the numbered input sheets. After core activity, consider optional sheets 10 and 11 before reviewing checks and results. Skip optional sections if the information is unavailable; the core return can still be completed.</t>
  </si>
  <si>
    <t>Step</t>
  </si>
  <si>
    <t>Open worksheet</t>
  </si>
  <si>
    <t>Action</t>
  </si>
  <si>
    <t>Your checklist (optional)</t>
  </si>
  <si>
    <t>Appearance</t>
  </si>
  <si>
    <t>Meaning</t>
  </si>
  <si>
    <t>What to do</t>
  </si>
  <si>
    <t>02 Hospice Setup</t>
  </si>
  <si>
    <t>Set up organisation, dates, services and expenditure</t>
  </si>
  <si>
    <t>Yellow</t>
  </si>
  <si>
    <t>Essential / conditional input</t>
  </si>
  <si>
    <t>Complete where relevant</t>
  </si>
  <si>
    <t>03 Catering Adjustment</t>
  </si>
  <si>
    <t>Complete catering costs and meal split</t>
  </si>
  <si>
    <t>Blue + border</t>
  </si>
  <si>
    <t>OPTIONAL input</t>
  </si>
  <si>
    <t>Complete if useful and reliable</t>
  </si>
  <si>
    <t>04 Service Costs</t>
  </si>
  <si>
    <t>Enter three cost categories for active services</t>
  </si>
  <si>
    <t>Grey</t>
  </si>
  <si>
    <t>Calculated / fixed</t>
  </si>
  <si>
    <t>Select to inspect; do not overwrite</t>
  </si>
  <si>
    <t>05 Support &amp; Income</t>
  </si>
  <si>
    <t>Enter central support and income-generation costs</t>
  </si>
  <si>
    <t>06 Shared Cost Pools</t>
  </si>
  <si>
    <t>Allocate genuinely shared service costs, if any</t>
  </si>
  <si>
    <t>Live completion</t>
  </si>
  <si>
    <t>07 Support Drivers</t>
  </si>
  <si>
    <t>Review support drivers; explain permitted alternatives</t>
  </si>
  <si>
    <t>08 Allocation Data</t>
  </si>
  <si>
    <t>Enter data for the selected allocation drivers</t>
  </si>
  <si>
    <t>09 Core Activity &amp; Capacity</t>
  </si>
  <si>
    <t>Enter activity; add optional service-user counts if available</t>
  </si>
  <si>
    <t>10 Optional IPU Care Type</t>
  </si>
  <si>
    <t>OPTIONAL: add adult inpatient care-type detail if available</t>
  </si>
  <si>
    <t>11 Optional Community</t>
  </si>
  <si>
    <t>OPTIONAL: add contact and staff-time detail if available</t>
  </si>
  <si>
    <t>12 Checks &amp; Completion</t>
  </si>
  <si>
    <t>Resolve errors and review warnings</t>
  </si>
  <si>
    <t>13 Results Dashboard</t>
  </si>
  <si>
    <t>Review headline service costs</t>
  </si>
  <si>
    <t>14 Detailed Results</t>
  </si>
  <si>
    <t>Review full breakdown and admission / user costs</t>
  </si>
  <si>
    <t>15 Enhanced Analysis</t>
  </si>
  <si>
    <t>Review enhanced results where optional inputs were completed</t>
  </si>
  <si>
    <t>Optional sheets 10 and 11 add detail. They are not required for the core return; complete only where relevant and reliable.</t>
  </si>
  <si>
    <t>Formula cells and fixed labels are protected. You can select cells to inspect formulas in the formula bar and change row heights or column widths. Enter data only in yellow or blue cells. An unlocked working copy can be requested if necessary.</t>
  </si>
  <si>
    <t>16 Calculations, 17 Code Lists and 18 Standard Export are hidden by default. To inspect them in Excel, right-click a sheet tab and choose Unhide. These sheets contain calculations and export data; no input is required.</t>
  </si>
  <si>
    <t>Cost entry: doctors’ costs / other staff costs / non-staff costs. IPU person-based results are labelled cost per admission. Other services use annual unique service-user counts. Free medical input is recorded only as optional context, without an imputed cost.</t>
  </si>
  <si>
    <t>Complete the yellow cells before entering costs.</t>
  </si>
  <si>
    <t>Organisation and reporting period</t>
  </si>
  <si>
    <t>Hospice name</t>
  </si>
  <si>
    <t>Provider type</t>
  </si>
  <si>
    <t>Workbook version</t>
  </si>
  <si>
    <t>Version 5.1</t>
  </si>
  <si>
    <t>Completed by</t>
  </si>
  <si>
    <t>Reporting basis</t>
  </si>
  <si>
    <t>Actual</t>
  </si>
  <si>
    <t>Currency</t>
  </si>
  <si>
    <t>GBP</t>
  </si>
  <si>
    <t>Email</t>
  </si>
  <si>
    <t>Period start</t>
  </si>
  <si>
    <t>Period end</t>
  </si>
  <si>
    <t>Primary site</t>
  </si>
  <si>
    <t>Cost categories</t>
  </si>
  <si>
    <t>Doctors / other staff / non-staff</t>
  </si>
  <si>
    <t>Expenditure bridge and mandatory input reconciliation</t>
  </si>
  <si>
    <t>Bridge item</t>
  </si>
  <si>
    <t>Amount</t>
  </si>
  <si>
    <t>Status</t>
  </si>
  <si>
    <t>Notes</t>
  </si>
  <si>
    <t>Total organisational expenditure</t>
  </si>
  <si>
    <t>Input</t>
  </si>
  <si>
    <t>From audited accounts or budget</t>
  </si>
  <si>
    <t>Less NHS-reimbursed drug costs</t>
  </si>
  <si>
    <t>Excluded from adjusted costing base</t>
  </si>
  <si>
    <t>Less catering costs attributable to paid-for meals</t>
  </si>
  <si>
    <t>Calculated</t>
  </si>
  <si>
    <t>Calculated on the 03 Catering Adjustment sheet</t>
  </si>
  <si>
    <t>Other adjustment</t>
  </si>
  <si>
    <t>Description required if non-zero</t>
  </si>
  <si>
    <t>Adjusted expenditure to be costed</t>
  </si>
  <si>
    <t>Must equal all costs entered</t>
  </si>
  <si>
    <t>Inpatient or overnight-care sites (up to three)</t>
  </si>
  <si>
    <t>Site no.</t>
  </si>
  <si>
    <t>Site name</t>
  </si>
  <si>
    <t>Active?</t>
  </si>
  <si>
    <t>Total beds</t>
  </si>
  <si>
    <t>IPU floor space (m²)</t>
  </si>
  <si>
    <t>Operating-hours band</t>
  </si>
  <si>
    <t>Any beds dedicated by care type?</t>
  </si>
  <si>
    <t>Adult: specialist palliative-care beds</t>
  </si>
  <si>
    <t>Adult: CHC Fast Track beds</t>
  </si>
  <si>
    <t>Adult: Step Up / Step Down / Enhanced beds</t>
  </si>
  <si>
    <t>Children: respite beds</t>
  </si>
  <si>
    <t>Children: end-of-life beds</t>
  </si>
  <si>
    <t>Flexible / undesignated beds</t>
  </si>
  <si>
    <t>Bed reconciliation</t>
  </si>
  <si>
    <t>Reporting-period days</t>
  </si>
  <si>
    <t>Calculated available bed days</t>
  </si>
  <si>
    <t>Override available bed days</t>
  </si>
  <si>
    <t>Available bed days used</t>
  </si>
  <si>
    <t>Reason for override</t>
  </si>
  <si>
    <t>No</t>
  </si>
  <si>
    <t>24/7</t>
  </si>
  <si>
    <t>Services provided</t>
  </si>
  <si>
    <t>Service code</t>
  </si>
  <si>
    <t>Provider group</t>
  </si>
  <si>
    <t>Parent category</t>
  </si>
  <si>
    <t>Subcategory</t>
  </si>
  <si>
    <t>Provided?</t>
  </si>
  <si>
    <t>ADU_IP</t>
  </si>
  <si>
    <t>Adult</t>
  </si>
  <si>
    <t>Adult inpatient</t>
  </si>
  <si>
    <t>Combined inpatient service</t>
  </si>
  <si>
    <t>ADU_OP</t>
  </si>
  <si>
    <t>Outpatient / hospital in-reach</t>
  </si>
  <si>
    <t>Outpatient</t>
  </si>
  <si>
    <t>ADU_HIR</t>
  </si>
  <si>
    <t>Hospital in-reach</t>
  </si>
  <si>
    <t>ADU_VW</t>
  </si>
  <si>
    <t>Specialist care at home</t>
  </si>
  <si>
    <t>Virtual Wards / Hospice at Home</t>
  </si>
  <si>
    <t>ADU_SPC</t>
  </si>
  <si>
    <t>Specialist visiting</t>
  </si>
  <si>
    <t>ADU_HAH</t>
  </si>
  <si>
    <t>Rapid response</t>
  </si>
  <si>
    <t>ADU_GEN_HCA</t>
  </si>
  <si>
    <t>Generalist / non-specialist community</t>
  </si>
  <si>
    <t>Generalist community visiting (HCAs)</t>
  </si>
  <si>
    <t>ADU_GEN_NUR</t>
  </si>
  <si>
    <t>Generalist community visiting (nurses)</t>
  </si>
  <si>
    <t>ADU_DOM</t>
  </si>
  <si>
    <t>Domiciliary / home care</t>
  </si>
  <si>
    <t>ADU_LYM</t>
  </si>
  <si>
    <t>Lymphoedema</t>
  </si>
  <si>
    <t>ADU_BER</t>
  </si>
  <si>
    <t>Bereavement / family support / living well</t>
  </si>
  <si>
    <t>Bereavement</t>
  </si>
  <si>
    <t>ADU_FAM</t>
  </si>
  <si>
    <t>Family and carer support</t>
  </si>
  <si>
    <t>ADU_LW</t>
  </si>
  <si>
    <t>Living well services</t>
  </si>
  <si>
    <t>CH_RES</t>
  </si>
  <si>
    <t>Children</t>
  </si>
  <si>
    <t>Children services</t>
  </si>
  <si>
    <t>Respite</t>
  </si>
  <si>
    <t>CH_CN_SP</t>
  </si>
  <si>
    <t>Specialist community visiting</t>
  </si>
  <si>
    <t>CH_CN_GEN</t>
  </si>
  <si>
    <t>Generalist community visiting</t>
  </si>
  <si>
    <t>CH_EOL</t>
  </si>
  <si>
    <t>End-of-life care</t>
  </si>
  <si>
    <t>CH_HIR</t>
  </si>
  <si>
    <t>CH_TH</t>
  </si>
  <si>
    <t>Therapies</t>
  </si>
  <si>
    <t>CH_FS</t>
  </si>
  <si>
    <t>Family support</t>
  </si>
  <si>
    <t>CH_BER</t>
  </si>
  <si>
    <t>Bereavement services</t>
  </si>
  <si>
    <t>CH_DAY</t>
  </si>
  <si>
    <t>Day services</t>
  </si>
  <si>
    <t>OTH_EDU</t>
  </si>
  <si>
    <t>Other</t>
  </si>
  <si>
    <t>Other charitable activity</t>
  </si>
  <si>
    <t>Education</t>
  </si>
  <si>
    <t>OTH_RES</t>
  </si>
  <si>
    <t>Research</t>
  </si>
  <si>
    <t>OTH_OTHER</t>
  </si>
  <si>
    <t>IPU floor space includes bedrooms and dedicated ancillary areas (bathrooms, nursing/treatment rooms and lounges). Exclude other services, central offices and retail units. Apportion shared areas reasonably and once only; a sensible estimate is acceptable.</t>
  </si>
  <si>
    <t>Enter total catering costs and meal numbers. The sheet removes the cost of paid-for meals and transfers the remaining catering costs into the model.</t>
  </si>
  <si>
    <t>Catering costs and meals</t>
  </si>
  <si>
    <t>Explanation</t>
  </si>
  <si>
    <t>Total catering staff costs</t>
  </si>
  <si>
    <t>Include all catering employees and agency staff</t>
  </si>
  <si>
    <t>Total catering non-staff costs</t>
  </si>
  <si>
    <t>Include food, drink, equipment and other catering costs</t>
  </si>
  <si>
    <t>Meals paid for by staff, visitors or others</t>
  </si>
  <si>
    <t>Enter meal numbers, not income received</t>
  </si>
  <si>
    <t>Meals provided without charge</t>
  </si>
  <si>
    <t>Include patient and other hospice-funded meals</t>
  </si>
  <si>
    <t>Calculated allocation</t>
  </si>
  <si>
    <t>Output</t>
  </si>
  <si>
    <t>Status / explanation</t>
  </si>
  <si>
    <t>Paid-meal proportion</t>
  </si>
  <si>
    <t>Paid meals divided by all meals</t>
  </si>
  <si>
    <t>Staff cost attributable to paid-for meals</t>
  </si>
  <si>
    <t>Removed from the costing model</t>
  </si>
  <si>
    <t>Non-staff cost attributable to paid-for meals</t>
  </si>
  <si>
    <t>Total catering cost adjustment</t>
  </si>
  <si>
    <t>Catering staff cost retained in model</t>
  </si>
  <si>
    <t>Transferred to 05 Support &amp; Income</t>
  </si>
  <si>
    <t>Catering non-staff cost retained in model</t>
  </si>
  <si>
    <t>Working status</t>
  </si>
  <si>
    <t>Where the results go</t>
  </si>
  <si>
    <t>Result</t>
  </si>
  <si>
    <t>Destination</t>
  </si>
  <si>
    <t>Treatment</t>
  </si>
  <si>
    <t>Paid-meal catering cost</t>
  </si>
  <si>
    <t>Deducted from organisational expenditure</t>
  </si>
  <si>
    <t>Remaining staff and non-staff costs</t>
  </si>
  <si>
    <t>Included as catering support costs</t>
  </si>
  <si>
    <t>ESSENTIAL for services provided: enter doctors, other staff and non-staff costs. Exclude shared pools, central support and expenditure removed in setup. Enter zero where a category has no cost.</t>
  </si>
  <si>
    <t>Service / site</t>
  </si>
  <si>
    <t>Doctors’ costs</t>
  </si>
  <si>
    <t>Other staff costs</t>
  </si>
  <si>
    <t>Non-staff costs</t>
  </si>
  <si>
    <t>Total direct cost</t>
  </si>
  <si>
    <t>Source / explanation</t>
  </si>
  <si>
    <t>OPTIONAL: medical input at no cost?</t>
  </si>
  <si>
    <t>OPTIONAL: medical input note</t>
  </si>
  <si>
    <t>ADU_IP_S1</t>
  </si>
  <si>
    <t>ADU_IP_S2</t>
  </si>
  <si>
    <t>ADU_IP_S3</t>
  </si>
  <si>
    <t>Doctors: include employment on-costs, locums and external medical cover paid by the hospice. Other staff: include all other employees and agency staff, with on-costs. Non-staff: include remaining attributable service costs.</t>
  </si>
  <si>
    <t>OPTIONAL medical input at no cost explains comparisons (for example NHS-funded doctors). Do not assign an estimated cost to free input. Shared clinical staff belong in 06 Shared Cost Pools if not directly attributed here.</t>
  </si>
  <si>
    <t>Support functions use explicit staff/non-staff lines. Income-generation headings follow Version 1.</t>
  </si>
  <si>
    <t>Code</t>
  </si>
  <si>
    <t>Function / activity</t>
  </si>
  <si>
    <t>Cost category</t>
  </si>
  <si>
    <t>Staff / non-staff</t>
  </si>
  <si>
    <t>Level of detail</t>
  </si>
  <si>
    <t>Default driver</t>
  </si>
  <si>
    <t>Source / note</t>
  </si>
  <si>
    <t>Visible summary</t>
  </si>
  <si>
    <t>Value</t>
  </si>
  <si>
    <t>SUP01</t>
  </si>
  <si>
    <t>Executive leadership and general management</t>
  </si>
  <si>
    <t>Executive and executive-office staff</t>
  </si>
  <si>
    <t>Staff</t>
  </si>
  <si>
    <t>Summary</t>
  </si>
  <si>
    <t>FTE</t>
  </si>
  <si>
    <t>Support costs</t>
  </si>
  <si>
    <t>Corporate projects and other costs</t>
  </si>
  <si>
    <t>Non-staff</t>
  </si>
  <si>
    <t>Income-generation costs</t>
  </si>
  <si>
    <t>SUP02</t>
  </si>
  <si>
    <t>Governance, risk and company secretarial</t>
  </si>
  <si>
    <t>Governance staff</t>
  </si>
  <si>
    <t>Total</t>
  </si>
  <si>
    <t>Board, risk, audit, professional advice and insurance</t>
  </si>
  <si>
    <t>SUP03</t>
  </si>
  <si>
    <t>Finance</t>
  </si>
  <si>
    <t>Finance team</t>
  </si>
  <si>
    <t>Two-stage finance</t>
  </si>
  <si>
    <t>Finance systems, audit, banking and other costs</t>
  </si>
  <si>
    <t>SUP04</t>
  </si>
  <si>
    <t>People / HR</t>
  </si>
  <si>
    <t>People / HR team</t>
  </si>
  <si>
    <t>Headcount</t>
  </si>
  <si>
    <t>Recruitment, L&amp;D, OH, payroll and other costs</t>
  </si>
  <si>
    <t>SUP05</t>
  </si>
  <si>
    <t>IT and digital</t>
  </si>
  <si>
    <t>IT and digital team</t>
  </si>
  <si>
    <t>Licences, hardware, connectivity, support and projects</t>
  </si>
  <si>
    <t>SUP06</t>
  </si>
  <si>
    <t>Data and business intelligence</t>
  </si>
  <si>
    <t>Data and BI team</t>
  </si>
  <si>
    <t>Data systems, licences and external support</t>
  </si>
  <si>
    <t>SUP07</t>
  </si>
  <si>
    <t>Communications</t>
  </si>
  <si>
    <t>Communications team</t>
  </si>
  <si>
    <t>Publications, digital, media and other costs</t>
  </si>
  <si>
    <t>SUP08F</t>
  </si>
  <si>
    <t>Estates and facilities - fixed property costs</t>
  </si>
  <si>
    <t>Fixed estates staff and management</t>
  </si>
  <si>
    <t>Floor space</t>
  </si>
  <si>
    <t>Rent, rates, depreciation, insurance and fixed service charges</t>
  </si>
  <si>
    <t>SUP08U</t>
  </si>
  <si>
    <t>Estates and facilities - usage-sensitive costs</t>
  </si>
  <si>
    <t>Usage-sensitive estates staff</t>
  </si>
  <si>
    <t>Weighted floor space</t>
  </si>
  <si>
    <t>Utilities, repairs, maintenance and grounds</t>
  </si>
  <si>
    <t>SUP09</t>
  </si>
  <si>
    <t>Housekeeping</t>
  </si>
  <si>
    <t>Housekeeping staff</t>
  </si>
  <si>
    <t>Cleaning hours</t>
  </si>
  <si>
    <t>Cleaning, laundry and outsourced services</t>
  </si>
  <si>
    <t>SUP10</t>
  </si>
  <si>
    <t>Reception and security</t>
  </si>
  <si>
    <t>Reception and security staff</t>
  </si>
  <si>
    <t>Security contracts, systems and other costs</t>
  </si>
  <si>
    <t>SUP11</t>
  </si>
  <si>
    <t>Catering</t>
  </si>
  <si>
    <t>Catering staff</t>
  </si>
  <si>
    <t>Meals</t>
  </si>
  <si>
    <t>Calculated on 03 Catering Adjustment</t>
  </si>
  <si>
    <t>Food, drink, equipment and other costs</t>
  </si>
  <si>
    <t>SUP13</t>
  </si>
  <si>
    <t>Other organisational support</t>
  </si>
  <si>
    <t>Other support staff</t>
  </si>
  <si>
    <t>Other support non-staff costs</t>
  </si>
  <si>
    <t>IG_RET</t>
  </si>
  <si>
    <t>Retail</t>
  </si>
  <si>
    <t>Shop staff costs</t>
  </si>
  <si>
    <t>Detailed</t>
  </si>
  <si>
    <t>Direct</t>
  </si>
  <si>
    <t>Shop rental</t>
  </si>
  <si>
    <t>Shop depreciation</t>
  </si>
  <si>
    <t>Cost of bought-in goods</t>
  </si>
  <si>
    <t>All other direct retail costs</t>
  </si>
  <si>
    <t>IG_LOT</t>
  </si>
  <si>
    <t>Lottery</t>
  </si>
  <si>
    <t>Lottery staff costs</t>
  </si>
  <si>
    <t>Lottery management company / third-party payments</t>
  </si>
  <si>
    <t>Lottery prizes</t>
  </si>
  <si>
    <t>Any other direct lottery costs</t>
  </si>
  <si>
    <t>IG_FUND</t>
  </si>
  <si>
    <t>Fundraising</t>
  </si>
  <si>
    <t>Fundraising staff costs</t>
  </si>
  <si>
    <t>Any other direct fundraising costs</t>
  </si>
  <si>
    <t>Complete only if costs genuinely benefit several services. Enter each cost once, identify the beneficiaries and explain reasonable weights. Each populated pool must allocate 100%.</t>
  </si>
  <si>
    <t>Pool ID</t>
  </si>
  <si>
    <t>Pool name</t>
  </si>
  <si>
    <t>Total pool cost</t>
  </si>
  <si>
    <t>Weight total</t>
  </si>
  <si>
    <t>Pool status</t>
  </si>
  <si>
    <t>Allocation basis / evidence</t>
  </si>
  <si>
    <t>Pool note</t>
  </si>
  <si>
    <t>POOL01</t>
  </si>
  <si>
    <t>POOL02</t>
  </si>
  <si>
    <t>POOL03</t>
  </si>
  <si>
    <t>POOL04</t>
  </si>
  <si>
    <t>POOL05</t>
  </si>
  <si>
    <t>POOL06</t>
  </si>
  <si>
    <t>POOL07</t>
  </si>
  <si>
    <t>POOL08</t>
  </si>
  <si>
    <t>POOL09</t>
  </si>
  <si>
    <t>POOL10</t>
  </si>
  <si>
    <t>POOL11</t>
  </si>
  <si>
    <t>POOL12</t>
  </si>
  <si>
    <t>Beneficiaries — one line per service per pool</t>
  </si>
  <si>
    <t>Line</t>
  </si>
  <si>
    <t>Beneficiary category</t>
  </si>
  <si>
    <t>Weight</t>
  </si>
  <si>
    <t>Allocated total</t>
  </si>
  <si>
    <t>Line status</t>
  </si>
  <si>
    <t>Allocation note</t>
  </si>
  <si>
    <t>Allocated doctors</t>
  </si>
  <si>
    <t>Allocated other staff</t>
  </si>
  <si>
    <t>Allocated non-staff</t>
  </si>
  <si>
    <t>Use the default driver where possible. Select only a permitted alternative and explain every override.</t>
  </si>
  <si>
    <t>Support code</t>
  </si>
  <si>
    <t>Support function</t>
  </si>
  <si>
    <t>Selected driver</t>
  </si>
  <si>
    <t>Override explanation</t>
  </si>
  <si>
    <t>Support cost</t>
  </si>
  <si>
    <t>Selected-driver data total</t>
  </si>
  <si>
    <t>Permitted alternatives</t>
  </si>
  <si>
    <t>FTE, Headcount, Direct costs</t>
  </si>
  <si>
    <t>Two-stage finance, Direct costs</t>
  </si>
  <si>
    <t>Headcount, FTE, Direct costs</t>
  </si>
  <si>
    <t>Floor space, Weighted floor space, Direct costs</t>
  </si>
  <si>
    <t>Weighted floor space, Floor space, Direct costs</t>
  </si>
  <si>
    <t>Cleaning hours, Weighted floor space, FTE</t>
  </si>
  <si>
    <t>Weighted floor space, Floor space, Headcount</t>
  </si>
  <si>
    <t>Meals, Headcount, Direct costs</t>
  </si>
  <si>
    <t>Use the default unless a permitted alternative better reflects service usage. Explain any change briefly. Reasonable estimates are acceptable; choose a driver because it is appropriate, not because it produces a preferred cost.</t>
  </si>
  <si>
    <t>Finance: estimate time specifically attributable to fundraising, retail, lottery or other recipients where possible. There is no minimum or expected percentage. Zero is valid: the unallocated balance follows direct expenditure. The permitted Direct costs alternative needs a brief explanation.</t>
  </si>
  <si>
    <t>Fixed estates costs use floor space. Usage-sensitive estates costs use operating-hours-weighted floor space; housekeeping uses cleaning hours where available.</t>
  </si>
  <si>
    <t>Recipient code</t>
  </si>
  <si>
    <t>Recipient</t>
  </si>
  <si>
    <t>Floor space (excluding any retail units)</t>
  </si>
  <si>
    <t>Hours factor</t>
  </si>
  <si>
    <t>Finance specific %</t>
  </si>
  <si>
    <t>Direct costs</t>
  </si>
  <si>
    <t>Site</t>
  </si>
  <si>
    <t>Inactive-data check</t>
  </si>
  <si>
    <t>Standard hours</t>
  </si>
  <si>
    <t>Driver totals and finance residual</t>
  </si>
  <si>
    <t>Finance residual</t>
  </si>
  <si>
    <t>Headcount counts people; FTE reflects working time (two half-time staff = 1.00 FTE). Do not include retail-unit floor space. For finance, use a reasonable estimate of specifically attributable time; zero is acceptable and no formal timesheet exercise is required.</t>
  </si>
  <si>
    <t>Enter essential activity and capacity data, then desirable individual patient / service-user counts where available.</t>
  </si>
  <si>
    <t>CORE ACTIVITY AND CAPACITY INFORMATION</t>
  </si>
  <si>
    <t>Service</t>
  </si>
  <si>
    <t>Measure</t>
  </si>
  <si>
    <t>Measure status</t>
  </si>
  <si>
    <t>Unit</t>
  </si>
  <si>
    <t>Note</t>
  </si>
  <si>
    <t>Available bed days</t>
  </si>
  <si>
    <t>Capacity</t>
  </si>
  <si>
    <t>Bed day</t>
  </si>
  <si>
    <t>Calculated from beds and reporting dates; override on 02 Hospice Setup if necessary</t>
  </si>
  <si>
    <t>Occupied bed days</t>
  </si>
  <si>
    <t>Activity</t>
  </si>
  <si>
    <t>Admissions</t>
  </si>
  <si>
    <t>Desirable</t>
  </si>
  <si>
    <t>Admission</t>
  </si>
  <si>
    <t>Available booked outpatient slots (if meaningful)</t>
  </si>
  <si>
    <t>Conditional capacity</t>
  </si>
  <si>
    <t>Appointment</t>
  </si>
  <si>
    <t>Leave capacity blank if not meaningful or not comparable with attendance. Zero means genuinely none. Optional: replace this note with your reason.</t>
  </si>
  <si>
    <t>Attended appointments</t>
  </si>
  <si>
    <t>Patient contacts / visits</t>
  </si>
  <si>
    <t>Contact / visit</t>
  </si>
  <si>
    <t>Available care hours</t>
  </si>
  <si>
    <t>Care hour</t>
  </si>
  <si>
    <t>Hours of care delivered</t>
  </si>
  <si>
    <t>Care hours delivered</t>
  </si>
  <si>
    <t>Available appointment slots</t>
  </si>
  <si>
    <t>Support contacts / sessions</t>
  </si>
  <si>
    <t>Contact / session</t>
  </si>
  <si>
    <t>Available places</t>
  </si>
  <si>
    <t>Place</t>
  </si>
  <si>
    <t>Attendances</t>
  </si>
  <si>
    <t>Attendance</t>
  </si>
  <si>
    <t>Children respite</t>
  </si>
  <si>
    <t>Available bed nights</t>
  </si>
  <si>
    <t>Bed night</t>
  </si>
  <si>
    <t>Occupied bed nights</t>
  </si>
  <si>
    <t>Count occupied nights during the reporting year; exclude day visits. Allocate each night once to respite or end-of-life care. Do not enter admissions or episodes.</t>
  </si>
  <si>
    <t>Children specialist community visiting</t>
  </si>
  <si>
    <t>Patient visits / contacts</t>
  </si>
  <si>
    <t>Children generalist community visiting</t>
  </si>
  <si>
    <t>Children end-of-life care</t>
  </si>
  <si>
    <t>Available bed nights where meaningful</t>
  </si>
  <si>
    <t>Enter available bed nights only where meaningful. Allocate shared capacity once across respite and end-of-life care; do not count the same capacity twice.</t>
  </si>
  <si>
    <t>Children hospital in-reach</t>
  </si>
  <si>
    <t>Children therapies</t>
  </si>
  <si>
    <t>Children family support</t>
  </si>
  <si>
    <t>Children bereavement</t>
  </si>
  <si>
    <t>Children day services</t>
  </si>
  <si>
    <t>DESIRABLE INDIVIDUAL PATIENT / SERVICE-USER COUNTS — used only to calculate cost per person</t>
  </si>
  <si>
    <t>If available, enter the number of different individuals who used each service during the reporting period. Count each person once within each service, regardless of how many contacts or visits they received. The same person may be counted once in more than one service. For bereavement and family support, count the family member or other person who directly received the support. Leave blank if a reliable unduplicated count is not available.</t>
  </si>
  <si>
    <t>Individual patients / service users</t>
  </si>
  <si>
    <t>Individual</t>
  </si>
  <si>
    <t>Additional Version 4 inputs: virtual ward / hospice-at-home capacity and activity are measured in care hours.</t>
  </si>
  <si>
    <t>Desirable: count each individual once within this service during the reporting period.</t>
  </si>
  <si>
    <t>Outpatients: only enter capacity where booked slots are meaningful and cover the same service activity as attendances. Otherwise leave capacity blank and optionally explain in G15. The cost per attendance remains available; capacity-based results are omitted.</t>
  </si>
  <si>
    <t>OPTIONAL annual individuals: count each person once within each service during the reporting year, even after repeat contacts. Count them again next year if served. Do not add service counts to obtain unique hospice-wide users. IPU admissions count stays are reported as admissions, not unique patients.</t>
  </si>
  <si>
    <t>Optional method 1: estimate IPU unit costs for specialist, CHC Fast Track and step-up / step-down / enhanced care.</t>
  </si>
  <si>
    <t>OPTIONAL ENHANCED INFORMATION — complete only where reliable data are readily available</t>
  </si>
  <si>
    <t>OPTIONAL: to estimate different care-type costs, complete annual bed nights in rows 12–14. Choose a year, month or week in rows 20–22 and enter care hours in rows 36–38. For a week or month also enter matching bed nights in rows 28–30; full-year bed nights fill automatically.</t>
  </si>
  <si>
    <t>Optional adult inpatient annual occupied bed-night analysis — include all occupied bed nights at each site</t>
  </si>
  <si>
    <t>For each site used, split all annual occupied bed nights by the patient’s care category, whether beds are dedicated or used flexibly. The three categories should reconcile to the site’s occupied bed nights in the core section above.</t>
  </si>
  <si>
    <t>Site code</t>
  </si>
  <si>
    <t>Annual occupied bed nights from core</t>
  </si>
  <si>
    <t>Specialist palliative care</t>
  </si>
  <si>
    <t>CHC Fast Track</t>
  </si>
  <si>
    <t>Step Up / Step Down / Enhanced</t>
  </si>
  <si>
    <t>Category total</t>
  </si>
  <si>
    <t>Difference / unclassified</t>
  </si>
  <si>
    <t>Optional adult inpatient selected analysis period</t>
  </si>
  <si>
    <t>For each site, choose a representative week, representative month or the full reporting year. Enter a start date only for a representative week or month. The same period is used for occupied bed nights and direct nursing and care hours.</t>
  </si>
  <si>
    <t>Analysis period</t>
  </si>
  <si>
    <t>Start date input</t>
  </si>
  <si>
    <t>Effective start</t>
  </si>
  <si>
    <t>Effective end</t>
  </si>
  <si>
    <t>Optional adult inpatient selected-period occupied bed nights</t>
  </si>
  <si>
    <t>For a representative week or month, enter the total occupied bed nights and the three-category split in the blue cells. For the full reporting year, leave those blue cells blank: the values used are linked automatically from the annual analysis above.</t>
  </si>
  <si>
    <t>Entered total</t>
  </si>
  <si>
    <t>Entered specialist</t>
  </si>
  <si>
    <t>Entered CHC</t>
  </si>
  <si>
    <t>Entered Step / Enhanced</t>
  </si>
  <si>
    <t>Total used</t>
  </si>
  <si>
    <t>Specialist used</t>
  </si>
  <si>
    <t>CHC used</t>
  </si>
  <si>
    <t>Step / Enhanced used</t>
  </si>
  <si>
    <t>Optional adult inpatient selected-period direct nursing and care hours</t>
  </si>
  <si>
    <t>Enter nursing and care hours for the same selected period, excluding doctors. Other staff costs (direct and shared) are the care-cost proxy. If known, O36:O38 can instead hold annual nursing/care costs, including relevant shared allocations; do not include doctors.</t>
  </si>
  <si>
    <t>Total direct care hours</t>
  </si>
  <si>
    <t>Specialist care hours</t>
  </si>
  <si>
    <t>CHC care hours</t>
  </si>
  <si>
    <t>Step / Enhanced care hours</t>
  </si>
  <si>
    <t>SPC hours / occupied bed night</t>
  </si>
  <si>
    <t>CHC hours / occupied bed night</t>
  </si>
  <si>
    <t>Step / Enhanced hours / occupied bed night</t>
  </si>
  <si>
    <t>Method / note</t>
  </si>
  <si>
    <t>Direct nursing/care staff cost override</t>
  </si>
  <si>
    <t>Cost basis used</t>
  </si>
  <si>
    <t>Optional analysis of telephone and face-to-face contacts. Staff-time information is required before differentiated costs are calculated.</t>
  </si>
  <si>
    <t>1. Choose how staff time will be entered</t>
  </si>
  <si>
    <t>For each service, choose one method. Use total direct staff hours if these are available by contact type; otherwise enter a reasonable average number of direct staff minutes for each contact. The optional service total provides a soft reconciliation check.</t>
  </si>
  <si>
    <t>Staff-time entry method</t>
  </si>
  <si>
    <t>Optional overall direct staff hours</t>
  </si>
  <si>
    <t>Calculated category hours</t>
  </si>
  <si>
    <t>Difference</t>
  </si>
  <si>
    <t>2. Enter contacts and staff time</t>
  </si>
  <si>
    <t>OPTIONAL: enter annual telephone and face-to-face contacts, plus total hours or average minutes. Include paid doctors and other staff represented in direct and shared service staff costs. Sum time for all staff involved; do not include free medical input in the paid-staff weighting.</t>
  </si>
  <si>
    <t>Contact type</t>
  </si>
  <si>
    <t>Number of contacts</t>
  </si>
  <si>
    <t>Total direct staff hours</t>
  </si>
  <si>
    <t>Average direct staff minutes / contact</t>
  </si>
  <si>
    <t>Calculated direct staff hours</t>
  </si>
  <si>
    <t>Telephone contact</t>
  </si>
  <si>
    <t>Optional enhanced</t>
  </si>
  <si>
    <t>Contact</t>
  </si>
  <si>
    <t>Face-to-face contact</t>
  </si>
  <si>
    <t>Errors prevent completion. Warnings require review and, where appropriate, an explanation.</t>
  </si>
  <si>
    <t>Check</t>
  </si>
  <si>
    <t>Expected / maximum</t>
  </si>
  <si>
    <t>Difference / remaining</t>
  </si>
  <si>
    <t>Tolerance</t>
  </si>
  <si>
    <t>Resolution / note</t>
  </si>
  <si>
    <t>Required setup information</t>
  </si>
  <si>
    <t>Complete hospice name, completed by, provider type, reporting dates and total expenditure</t>
  </si>
  <si>
    <t>Adjusted expenditure vs costs entered</t>
  </si>
  <si>
    <t>Pre-allocation vs post-allocation</t>
  </si>
  <si>
    <t>Shared-pool weights and allocation lines</t>
  </si>
  <si>
    <t>Populated pools need a name, basis and 100% weights; beneficiaries must be active and unique.</t>
  </si>
  <si>
    <t>Finance time specifically allocated</t>
  </si>
  <si>
    <t>The remaining percentage is allocated using direct expenditure</t>
  </si>
  <si>
    <t>Negative included service costs without note</t>
  </si>
  <si>
    <t>Invalid or inactive service-cost entries</t>
  </si>
  <si>
    <t>Clear cost inputs for inactive services. There is one three-category entry route.</t>
  </si>
  <si>
    <t>Dedicated-bed reconciliation</t>
  </si>
  <si>
    <t>Where dedicated provision is Yes, dedicated and flexible beds must total site beds</t>
  </si>
  <si>
    <t>Catering adjustment working</t>
  </si>
  <si>
    <t>Enter catering costs and total meal numbers where catering costs exist</t>
  </si>
  <si>
    <t>Always warning if non-zero</t>
  </si>
  <si>
    <t>Support allocation settings</t>
  </si>
  <si>
    <t>Overrides require an explanation and the selected driver must contain data</t>
  </si>
  <si>
    <t>Annual inpatient bed-night analysis</t>
  </si>
  <si>
    <t>If used, each site should reconcile its three categories to annual occupied bed nights</t>
  </si>
  <si>
    <t>Selected-period inpatient bed-night analysis</t>
  </si>
  <si>
    <t>If used, complete valid period settings and reconcile the category split</t>
  </si>
  <si>
    <t>Selected-period direct-care-hours analysis</t>
  </si>
  <si>
    <t>If used, reconcile category hours to total hours</t>
  </si>
  <si>
    <t>Data entered for inactive services</t>
  </si>
  <si>
    <t>Clear activity and allocation-driver inputs from inactive services</t>
  </si>
  <si>
    <t>Inpatient capacity overrides</t>
  </si>
  <si>
    <t>Explain every override of calculated available bed days</t>
  </si>
  <si>
    <t>Model completion</t>
  </si>
  <si>
    <t>No errors permitted</t>
  </si>
  <si>
    <t>Warning thresholds</t>
  </si>
  <si>
    <t>Warning</t>
  </si>
  <si>
    <t>Threshold</t>
  </si>
  <si>
    <t>Rationale</t>
  </si>
  <si>
    <t>Service category split</t>
  </si>
  <si>
    <t>Number of charitable services whose category costs do not reconcile</t>
  </si>
  <si>
    <t>Difference should be zero</t>
  </si>
  <si>
    <t>Shared pools</t>
  </si>
  <si>
    <t>&gt;20% of benefiting service costs</t>
  </si>
  <si>
    <t>Prompt direct attribution where possible</t>
  </si>
  <si>
    <t>Review proportionality</t>
  </si>
  <si>
    <t>Activity above capacity</t>
  </si>
  <si>
    <t>&gt;2%</t>
  </si>
  <si>
    <t>Allows small rounding differences</t>
  </si>
  <si>
    <t>Review data definitions</t>
  </si>
  <si>
    <t>Driver override explanation</t>
  </si>
  <si>
    <t>Every override</t>
  </si>
  <si>
    <t>Preserve comparability and auditability</t>
  </si>
  <si>
    <t>Provide a brief explanation</t>
  </si>
  <si>
    <t>Additional expenditure adjustment</t>
  </si>
  <si>
    <t>Any amount</t>
  </si>
  <si>
    <t>Protect comparability</t>
  </si>
  <si>
    <t>Review every case</t>
  </si>
  <si>
    <t>Headline results show full actual service cost and unit costs, including cost per patient / service user where counts are available.</t>
  </si>
  <si>
    <t>Model status and headline totals</t>
  </si>
  <si>
    <t>Model status</t>
  </si>
  <si>
    <t>Adjusted expenditure</t>
  </si>
  <si>
    <t>Costs entered</t>
  </si>
  <si>
    <t>Input reconciliation</t>
  </si>
  <si>
    <t>Post-allocation</t>
  </si>
  <si>
    <t>Completion workbook</t>
  </si>
  <si>
    <t>Primary result basis</t>
  </si>
  <si>
    <t>Full actual service cost excluding income-generation reallocation</t>
  </si>
  <si>
    <t>Direct cost</t>
  </si>
  <si>
    <t>Shared cost</t>
  </si>
  <si>
    <t>Full cost</t>
  </si>
  <si>
    <t>Cost / capacity</t>
  </si>
  <si>
    <t>Cost / activity</t>
  </si>
  <si>
    <t>Utilisation</t>
  </si>
  <si>
    <t>Admissions / service users</t>
  </si>
  <si>
    <t>Cost / admission or service user</t>
  </si>
  <si>
    <t>Combined adult inpatient — all sites</t>
  </si>
  <si>
    <t>IPU rows: cost per admission. Other service rows: cost per annual individual/service user. Do not sum these denominators across services; they are not hospice-wide unique people and do not measure intensity of support.</t>
  </si>
  <si>
    <t>Formula-driven service, allocation, activity and unit-cost results, including cost per patient / service user where data are available.</t>
  </si>
  <si>
    <t>Allocated support</t>
  </si>
  <si>
    <t>Full cost excl. income generation</t>
  </si>
  <si>
    <t>Data status</t>
  </si>
  <si>
    <t>Doctors (direct + shared)</t>
  </si>
  <si>
    <t>Other staff (direct + shared)</t>
  </si>
  <si>
    <t>Non-staff (direct + shared)</t>
  </si>
  <si>
    <t>Person-cost denominator</t>
  </si>
  <si>
    <t>OPTIONAL: medical input at no cost</t>
  </si>
  <si>
    <t>See site rows</t>
  </si>
  <si>
    <t>Service user</t>
  </si>
  <si>
    <t>Not applicable</t>
  </si>
  <si>
    <t>IPU: cost per admission counts repeat stays and transfers; it is not cost per unique patient. Other services: annual unique people within that service only. O:Q preserve service cost categories before central support; add E to reconcile to full cost F. Income-generation costs retain their existing staff/non-staff entry structure.</t>
  </si>
  <si>
    <t>Results appear automatically when the optional inpatient or community information is completed. These analyses do not alter headline service costs.</t>
  </si>
  <si>
    <t>Annual adult inpatient occupied bed-night mix</t>
  </si>
  <si>
    <t>Specialist nights</t>
  </si>
  <si>
    <t>CHC nights</t>
  </si>
  <si>
    <t>Step / Enhanced nights</t>
  </si>
  <si>
    <t>Specialist mix</t>
  </si>
  <si>
    <t>CHC mix</t>
  </si>
  <si>
    <t>Step / Enhanced mix</t>
  </si>
  <si>
    <t>Selected-period adult inpatient care-intensity analysis</t>
  </si>
  <si>
    <t>Direct care hours</t>
  </si>
  <si>
    <t>Specialist hours / bed night</t>
  </si>
  <si>
    <t>CHC hours / bed night</t>
  </si>
  <si>
    <t>Step / Enhanced hours / bed night</t>
  </si>
  <si>
    <t>Period status</t>
  </si>
  <si>
    <t>Bed-night status</t>
  </si>
  <si>
    <t>Care-hours status</t>
  </si>
  <si>
    <t>Optional adult community contact profile</t>
  </si>
  <si>
    <t>Total contacts</t>
  </si>
  <si>
    <t>Telephone contacts</t>
  </si>
  <si>
    <t>Face-to-face contacts</t>
  </si>
  <si>
    <t>Telephone mix</t>
  </si>
  <si>
    <t>Face-to-face mix</t>
  </si>
  <si>
    <t>Staff-time method</t>
  </si>
  <si>
    <t>Estimated adult inpatient unit costs by care category</t>
  </si>
  <si>
    <t>Care category</t>
  </si>
  <si>
    <t>Annual occupied bed nights</t>
  </si>
  <si>
    <t>Annual care-hour weighting</t>
  </si>
  <si>
    <t>Annual nursing/care cost used</t>
  </si>
  <si>
    <t>Other site cost</t>
  </si>
  <si>
    <t>Allocated direct-care cost</t>
  </si>
  <si>
    <t>Allocated other cost</t>
  </si>
  <si>
    <t>Estimated category cost</t>
  </si>
  <si>
    <t>Estimated cost / occupied bed night</t>
  </si>
  <si>
    <t>Method</t>
  </si>
  <si>
    <t>Estimated adult community unit costs by contact type</t>
  </si>
  <si>
    <t>Contact category</t>
  </si>
  <si>
    <t>Contacts</t>
  </si>
  <si>
    <t>Service direct staff cost</t>
  </si>
  <si>
    <t>Other full service cost</t>
  </si>
  <si>
    <t>Allocated direct-staff cost</t>
  </si>
  <si>
    <t>Estimated cost / contact</t>
  </si>
  <si>
    <t>Paid doctors + other staff (direct and shared) use staff-hour shares; non-staff and support use contact shares.</t>
  </si>
  <si>
    <t>16 Calculations</t>
  </si>
  <si>
    <t>Formula engine. User editing is not intended.</t>
  </si>
  <si>
    <t>Total actual cost</t>
  </si>
  <si>
    <t>Doctors before support</t>
  </si>
  <si>
    <t>Other staff before support</t>
  </si>
  <si>
    <t>Non-staff before support</t>
  </si>
  <si>
    <t>Charitable category difference</t>
  </si>
  <si>
    <t>Adult inpatient — Site 1</t>
  </si>
  <si>
    <t>Adult inpatient — Site 2</t>
  </si>
  <si>
    <t>Adult inpatient — Site 3</t>
  </si>
  <si>
    <t>17 Code Lists</t>
  </si>
  <si>
    <t>Stable codes and validation lists used by the model. Do not edit.</t>
  </si>
  <si>
    <t>Service and activity codes</t>
  </si>
  <si>
    <t>Shared-pool beneficiary list</t>
  </si>
  <si>
    <t>Pool IDs</t>
  </si>
  <si>
    <t>Periods</t>
  </si>
  <si>
    <t>Permitted support-allocation drivers</t>
  </si>
  <si>
    <t>Community staff-time methods</t>
  </si>
  <si>
    <t>Principal unit</t>
  </si>
  <si>
    <t>Headline</t>
  </si>
  <si>
    <t>Dropdown option</t>
  </si>
  <si>
    <t>Entry method</t>
  </si>
  <si>
    <t>Yes</t>
  </si>
  <si>
    <t>ADU_IP_S1 | Adult inpatient — Site 1</t>
  </si>
  <si>
    <t>Representative week</t>
  </si>
  <si>
    <t>ADU_IP_S2 | Adult inpatient — Site 2</t>
  </si>
  <si>
    <t>Representative month</t>
  </si>
  <si>
    <t>Average minutes per contact</t>
  </si>
  <si>
    <t>ADU_IP_S3 | Adult inpatient — Site 3</t>
  </si>
  <si>
    <t>Full reporting year</t>
  </si>
  <si>
    <t>ADU_OP | Outpatient</t>
  </si>
  <si>
    <t>ADU_HIR | Hospital in-reach</t>
  </si>
  <si>
    <t>ADU_SPC | Specialist visiting</t>
  </si>
  <si>
    <t>ADU_HAH | Rapid response</t>
  </si>
  <si>
    <t>ADU_GEN_HCA | Generalist community visiting (HCAs)</t>
  </si>
  <si>
    <t>ADU_GEN_NUR | Generalist community visiting (nurses)</t>
  </si>
  <si>
    <t>ADU_DOM | Domiciliary / home care</t>
  </si>
  <si>
    <t>ADU_LYM | Lymphoedema</t>
  </si>
  <si>
    <t>ADU_BER | Bereavement</t>
  </si>
  <si>
    <t>ADU_FAM | Family and carer support</t>
  </si>
  <si>
    <t>ADU_LW | Living well services</t>
  </si>
  <si>
    <t>CH_RES | Respite</t>
  </si>
  <si>
    <t>CH_CN_SP | Specialist community visiting</t>
  </si>
  <si>
    <t>CH_CN_GEN | Generalist community visiting</t>
  </si>
  <si>
    <t>CH_EOL | End-of-life care</t>
  </si>
  <si>
    <t>CH_HIR | Hospital in-reach</t>
  </si>
  <si>
    <t>CH_TH | Therapies</t>
  </si>
  <si>
    <t>CH_FS | Family support</t>
  </si>
  <si>
    <t>No standard unit</t>
  </si>
  <si>
    <t>CH_BER | Bereavement services</t>
  </si>
  <si>
    <t>CH_DAY | Day services</t>
  </si>
  <si>
    <t>OTH_EDU | Education</t>
  </si>
  <si>
    <t>Income generation</t>
  </si>
  <si>
    <t>N/A</t>
  </si>
  <si>
    <t>OTH_RES | Research</t>
  </si>
  <si>
    <t>OTH_OTHER | Other charitable activity</t>
  </si>
  <si>
    <t>ADU_VW | Virtual Wards / Hospice at Home</t>
  </si>
  <si>
    <t>Support function codes</t>
  </si>
  <si>
    <t>Cost code</t>
  </si>
  <si>
    <t>Service cost category</t>
  </si>
  <si>
    <t>DOC</t>
  </si>
  <si>
    <t>Paid medical input</t>
  </si>
  <si>
    <t>STAFF</t>
  </si>
  <si>
    <t>All other staff incl agency</t>
  </si>
  <si>
    <t>NONSTAFF</t>
  </si>
  <si>
    <t>Other attributable costs</t>
  </si>
  <si>
    <t>18 Standard Export</t>
  </si>
  <si>
    <t>Protected long-format output for Hospice UK consolidation. Do not edit.</t>
  </si>
  <si>
    <t>Hospice</t>
  </si>
  <si>
    <t>Metric</t>
  </si>
  <si>
    <t>Staff/non-staff</t>
  </si>
  <si>
    <t>Cost status</t>
  </si>
  <si>
    <t>Driver</t>
  </si>
  <si>
    <t>Quality status</t>
  </si>
  <si>
    <t>Source sheet</t>
  </si>
  <si>
    <t>Doctors direct + shared</t>
  </si>
  <si>
    <t>Other staff direct + shared</t>
  </si>
  <si>
    <t>Non-staff direct + shared</t>
  </si>
  <si>
    <t>Medical input at no cost</t>
  </si>
  <si>
    <t>Admissions count stays, including repeat admissions and site transfers; do not add combined and individual site totals.</t>
  </si>
  <si>
    <t>Cost per capacity</t>
  </si>
  <si>
    <t>Cost per activity</t>
  </si>
  <si>
    <t>%</t>
  </si>
  <si>
    <t>Cost per admission</t>
  </si>
  <si>
    <t>Individuals / service users</t>
  </si>
  <si>
    <t>Count each individual once within this service during the reporting period</t>
  </si>
  <si>
    <t>Cost per patient / service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</si>
</sst>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 mmm\ yyyy"/>
    <numFmt numFmtId="165" formatCode="\£#,##0;[Red]\(\£#,##0\);\-"/>
    <numFmt numFmtId="166" formatCode="#,##0.0;[Red]\(#,##0.0\);\-"/>
    <numFmt numFmtId="167" formatCode="0.0%;[Red]\(0.0%\);\-"/>
    <numFmt numFmtId="168" formatCode="#,##0.0"/>
    <numFmt numFmtId="169" formatCode="0.0%"/>
    <numFmt numFmtId="170" formatCode="&quot;£&quot;#,##0;\(&quot;£&quot;#,##0\);&quot;£&quot;0"/>
    <numFmt numFmtId="171" formatCode="&quot;£&quot;#,##0.00;\(&quot;£&quot;#,##0.00\);&quot;£&quot;0.00"/>
  </numFmts>
  <fonts count="17">
    <font>
      <sz val="11"/>
      <name val="Carlito"/>
    </font>
    <font>
      <b/>
      <sz val="18"/>
      <color rgb="FFFFFFFF"/>
      <name val="Carlito"/>
    </font>
    <font>
      <sz val="10"/>
      <color rgb="FF24343A"/>
      <name val="Carlito"/>
    </font>
    <font>
      <b/>
      <sz val="11"/>
      <color rgb="FFFFFFFF"/>
      <name val="Carlito"/>
    </font>
    <font>
      <sz val="11"/>
      <color rgb="FF0000FF"/>
      <name val="Carlito"/>
    </font>
    <font>
      <sz val="11"/>
      <color rgb="FF000000"/>
      <name val="Carlito"/>
    </font>
    <font>
      <sz val="11"/>
      <color rgb="FF24343A"/>
      <name val="Carlito"/>
    </font>
    <font>
      <b/>
      <sz val="11"/>
      <color rgb="FF24343A"/>
      <name val="Carlito"/>
    </font>
    <font>
      <sz val="11"/>
      <color rgb="FF000000"/>
      <name val="Calibri"/>
      <family val="2"/>
    </font>
    <font>
      <b/>
      <sz val="11"/>
      <color rgb="FFFFFFFF"/>
      <name val="Calibri"/>
      <family val="2"/>
    </font>
    <font>
      <sz val="11"/>
      <name val="Calibri"/>
      <family val="2"/>
    </font>
    <font>
      <sz val="11"/>
      <color rgb="FF243A43"/>
      <name val="Calibri"/>
      <family val="2"/>
    </font>
    <font>
      <sz val="11"/>
      <color rgb="FF154A75"/>
      <name val="Calibri"/>
      <family val="2"/>
    </font>
    <font>
      <sz val="11"/>
      <color rgb="FF154A75"/>
      <name val="Carlito"/>
    </font>
    <font>
      <sz val="11"/>
      <color rgb="FF243A43"/>
      <name val="Carlito"/>
    </font>
    <font>
      <b/>
      <sz val="11"/>
      <color rgb="FF243A43"/>
      <name val="Carlito"/>
    </font>
    <font>
      <b/>
      <sz val="11"/>
      <name val="Carlito"/>
    </font>
  </fonts>
  <fills count="20">
    <fill>
      <patternFill patternType="none"/>
    </fill>
    <fill>
      <patternFill patternType="gray125"/>
    </fill>
    <fill>
      <patternFill patternType="solid">
        <fgColor rgb="FF244B5A"/>
      </patternFill>
    </fill>
    <fill>
      <patternFill patternType="solid">
        <fgColor rgb="FFEAF3F4"/>
      </patternFill>
    </fill>
    <fill>
      <patternFill patternType="solid">
        <fgColor rgb="FF008A95"/>
      </patternFill>
    </fill>
    <fill>
      <patternFill patternType="solid">
        <fgColor rgb="FFFFF2CC"/>
      </patternFill>
    </fill>
    <fill>
      <patternFill patternType="solid">
        <fgColor rgb="FFEEF0F2"/>
      </patternFill>
    </fill>
    <fill>
      <patternFill patternType="solid">
        <fgColor rgb="FFE8F1FA"/>
      </patternFill>
    </fill>
    <fill>
      <patternFill patternType="solid">
        <fgColor rgb="FF244A58"/>
      </patternFill>
    </fill>
    <fill>
      <patternFill patternType="solid">
        <fgColor rgb="FFFFFFFF"/>
      </patternFill>
    </fill>
    <fill>
      <patternFill patternType="solid">
        <fgColor rgb="FFECEFF1"/>
      </patternFill>
    </fill>
    <fill>
      <patternFill patternType="solid">
        <fgColor rgb="FF244A58"/>
      </patternFill>
    </fill>
    <fill>
      <patternFill patternType="solid">
        <fgColor rgb="FFEAF1F3"/>
      </patternFill>
    </fill>
    <fill>
      <patternFill patternType="solid">
        <fgColor rgb="FFE7ECEF"/>
      </patternFill>
    </fill>
    <fill>
      <patternFill patternType="solid">
        <fgColor rgb="FFFFF2CC"/>
      </patternFill>
    </fill>
    <fill>
      <patternFill patternType="solid">
        <fgColor rgb="FFAFCFEB"/>
      </patternFill>
    </fill>
    <fill>
      <patternFill patternType="solid">
        <fgColor rgb="FFE7ECEF"/>
      </patternFill>
    </fill>
    <fill>
      <patternFill patternType="solid">
        <fgColor rgb="FFFFF2CC"/>
      </patternFill>
    </fill>
    <fill>
      <patternFill patternType="solid">
        <fgColor rgb="FFAFCFEB"/>
      </patternFill>
    </fill>
    <fill>
      <patternFill patternType="solid">
        <fgColor rgb="FFEAF1F3"/>
      </patternFill>
    </fill>
  </fills>
  <borders count="5">
    <border>
      <left/>
      <right/>
      <top/>
      <bottom/>
      <diagonal/>
    </border>
    <border>
      <left style="thin">
        <color rgb="FFC9D7DA"/>
      </left>
      <right style="thin">
        <color rgb="FFC9D7DA"/>
      </right>
      <top style="thin">
        <color rgb="FFC9D7DA"/>
      </top>
      <bottom style="thin">
        <color rgb="FFC9D7DA"/>
      </bottom>
      <diagonal/>
    </border>
    <border>
      <left style="thin">
        <color rgb="FFD6E3E8"/>
      </left>
      <right style="thin">
        <color rgb="FFD6E3E8"/>
      </right>
      <top style="thin">
        <color rgb="FFD6E3E8"/>
      </top>
      <bottom style="thin">
        <color rgb="FFD6E3E8"/>
      </bottom>
      <diagonal/>
    </border>
    <border>
      <left style="thin">
        <color rgb="FFC8B873"/>
      </left>
      <right style="thin">
        <color rgb="FFC8B873"/>
      </right>
      <top style="thin">
        <color rgb="FFC8B873"/>
      </top>
      <bottom style="thin">
        <color rgb="FFC8B873"/>
      </bottom>
      <diagonal/>
    </border>
    <border>
      <left style="medium">
        <color rgb="FF4E7898"/>
      </left>
      <right style="medium">
        <color rgb="FF4E7898"/>
      </right>
      <top style="medium">
        <color rgb="FF4E7898"/>
      </top>
      <bottom style="medium">
        <color rgb="FF4E7898"/>
      </bottom>
      <diagonal/>
    </border>
  </borders>
  <cellStyleXfs count="1">
    <xf numFmtId="0" fontId="0" fillId="0" borderId="0"/>
  </cellStyleXfs>
  <cellXfs count="133">
    <xf numFmtId="0" fontId="0" fillId="0" borderId="0" xfId="0"/>
    <xf numFmtId="0" fontId="3" fillId="4" borderId="0" xfId="0" applyFont="1" applyFill="1" applyAlignment="1">
      <alignment vertical="center"/>
    </xf>
    <xf numFmtId="0" fontId="3" fillId="2" borderId="1" xfId="0" applyFont="1" applyFill="1" applyBorder="1" applyAlignment="1">
      <alignment vertical="center" wrapText="1"/>
    </xf>
    <xf numFmtId="0" fontId="0" fillId="0" borderId="1" xfId="0" applyBorder="1" applyAlignment="1">
      <alignment vertical="center"/>
    </xf>
    <xf numFmtId="0" fontId="4" fillId="5" borderId="1" xfId="0" applyFont="1" applyFill="1" applyBorder="1"/>
    <xf numFmtId="0" fontId="0" fillId="6" borderId="0" xfId="0" applyFill="1"/>
    <xf numFmtId="0" fontId="5" fillId="6" borderId="1" xfId="0" applyFont="1" applyFill="1" applyBorder="1"/>
    <xf numFmtId="165" fontId="5" fillId="6" borderId="1" xfId="0" applyNumberFormat="1" applyFont="1" applyFill="1" applyBorder="1"/>
    <xf numFmtId="166" fontId="5" fillId="6" borderId="1" xfId="0" applyNumberFormat="1" applyFont="1" applyFill="1" applyBorder="1"/>
    <xf numFmtId="0" fontId="5" fillId="6" borderId="1" xfId="0" applyFont="1" applyFill="1" applyBorder="1" applyAlignment="1">
      <alignment vertical="center"/>
    </xf>
    <xf numFmtId="167" fontId="5" fillId="6" borderId="1" xfId="0" applyNumberFormat="1" applyFont="1" applyFill="1" applyBorder="1" applyAlignment="1">
      <alignment vertical="center"/>
    </xf>
    <xf numFmtId="165" fontId="5" fillId="6" borderId="1" xfId="0" applyNumberFormat="1" applyFont="1" applyFill="1" applyBorder="1" applyAlignment="1">
      <alignment vertical="center"/>
    </xf>
    <xf numFmtId="166" fontId="5" fillId="6" borderId="1" xfId="0" applyNumberFormat="1" applyFont="1" applyFill="1" applyBorder="1" applyAlignment="1">
      <alignment vertical="center"/>
    </xf>
    <xf numFmtId="167" fontId="5" fillId="6" borderId="1" xfId="0" applyNumberFormat="1" applyFont="1" applyFill="1" applyBorder="1"/>
    <xf numFmtId="164" fontId="5" fillId="6" borderId="1" xfId="0" applyNumberFormat="1" applyFont="1" applyFill="1" applyBorder="1" applyAlignment="1">
      <alignment vertical="center"/>
    </xf>
    <xf numFmtId="0" fontId="7" fillId="3" borderId="1" xfId="0" applyFont="1" applyFill="1" applyBorder="1" applyAlignment="1">
      <alignment vertical="center"/>
    </xf>
    <xf numFmtId="0" fontId="4" fillId="7" borderId="1" xfId="0" applyFont="1" applyFill="1" applyBorder="1" applyAlignment="1">
      <alignment vertical="center" wrapText="1"/>
    </xf>
    <xf numFmtId="0" fontId="0" fillId="0" borderId="1" xfId="0" applyBorder="1" applyAlignment="1">
      <alignment vertical="center" wrapText="1"/>
    </xf>
    <xf numFmtId="164" fontId="0" fillId="0" borderId="1" xfId="0" applyNumberFormat="1" applyBorder="1" applyAlignment="1">
      <alignment vertical="center"/>
    </xf>
    <xf numFmtId="168" fontId="0" fillId="0" borderId="1" xfId="0" applyNumberFormat="1" applyBorder="1" applyAlignment="1">
      <alignment vertical="center"/>
    </xf>
    <xf numFmtId="0" fontId="0" fillId="3" borderId="0" xfId="0" applyFill="1" applyAlignment="1">
      <alignment vertical="center" wrapText="1"/>
    </xf>
    <xf numFmtId="0" fontId="0" fillId="0" borderId="0" xfId="0" applyAlignment="1">
      <alignment wrapText="1"/>
    </xf>
    <xf numFmtId="0" fontId="8" fillId="9" borderId="2" xfId="0" applyFont="1" applyFill="1" applyBorder="1" applyAlignment="1">
      <alignment vertical="center" wrapText="1"/>
    </xf>
    <xf numFmtId="0" fontId="9" fillId="8" borderId="2" xfId="0" applyFont="1" applyFill="1" applyBorder="1" applyAlignment="1">
      <alignment vertical="center" wrapText="1"/>
    </xf>
    <xf numFmtId="0" fontId="8" fillId="10" borderId="2" xfId="0" applyFont="1" applyFill="1" applyBorder="1" applyAlignment="1">
      <alignment vertical="center" wrapText="1"/>
    </xf>
    <xf numFmtId="0" fontId="9" fillId="8" borderId="1" xfId="0" applyFont="1" applyFill="1" applyBorder="1" applyAlignment="1">
      <alignment vertical="center" wrapText="1"/>
    </xf>
    <xf numFmtId="166" fontId="9" fillId="8" borderId="1" xfId="0" applyNumberFormat="1" applyFont="1" applyFill="1" applyBorder="1" applyAlignment="1">
      <alignment vertical="center" wrapText="1"/>
    </xf>
    <xf numFmtId="168" fontId="8" fillId="10" borderId="2" xfId="0" applyNumberFormat="1" applyFont="1" applyFill="1" applyBorder="1" applyAlignment="1">
      <alignment vertical="center" wrapText="1"/>
    </xf>
    <xf numFmtId="3" fontId="8" fillId="9" borderId="2" xfId="0" applyNumberFormat="1" applyFont="1" applyFill="1" applyBorder="1" applyAlignment="1">
      <alignment vertical="center" wrapText="1"/>
    </xf>
    <xf numFmtId="4" fontId="8" fillId="9" borderId="2" xfId="0" applyNumberFormat="1" applyFont="1" applyFill="1" applyBorder="1" applyAlignment="1">
      <alignment vertical="center" wrapText="1"/>
    </xf>
    <xf numFmtId="169" fontId="8" fillId="9" borderId="2" xfId="0" applyNumberFormat="1" applyFont="1" applyFill="1" applyBorder="1" applyAlignment="1">
      <alignment vertical="center" wrapText="1"/>
    </xf>
    <xf numFmtId="0" fontId="10" fillId="0" borderId="0" xfId="0" applyFont="1"/>
    <xf numFmtId="0" fontId="9" fillId="11" borderId="0" xfId="0" applyFont="1" applyFill="1" applyAlignment="1">
      <alignment wrapText="1"/>
    </xf>
    <xf numFmtId="0" fontId="10" fillId="0" borderId="0" xfId="0" applyFont="1" applyAlignment="1">
      <alignment wrapText="1"/>
    </xf>
    <xf numFmtId="0" fontId="11" fillId="13" borderId="0" xfId="0" applyFont="1" applyFill="1" applyAlignment="1">
      <alignment wrapText="1"/>
    </xf>
    <xf numFmtId="170" fontId="11" fillId="13" borderId="0" xfId="0" applyNumberFormat="1" applyFont="1" applyFill="1" applyAlignment="1">
      <alignment wrapText="1"/>
    </xf>
    <xf numFmtId="0" fontId="3" fillId="11" borderId="0" xfId="0" applyFont="1" applyFill="1" applyAlignment="1">
      <alignment wrapText="1"/>
    </xf>
    <xf numFmtId="0" fontId="0" fillId="12" borderId="0" xfId="0" applyFill="1" applyAlignment="1">
      <alignment wrapText="1"/>
    </xf>
    <xf numFmtId="170" fontId="14" fillId="13" borderId="0" xfId="0" applyNumberFormat="1" applyFont="1" applyFill="1" applyAlignment="1">
      <alignment wrapText="1"/>
    </xf>
    <xf numFmtId="169" fontId="14" fillId="13" borderId="0" xfId="0" applyNumberFormat="1" applyFont="1" applyFill="1" applyAlignment="1">
      <alignment wrapText="1"/>
    </xf>
    <xf numFmtId="0" fontId="14" fillId="13" borderId="0" xfId="0" applyFont="1" applyFill="1" applyAlignment="1">
      <alignment wrapText="1"/>
    </xf>
    <xf numFmtId="0" fontId="14" fillId="13" borderId="1" xfId="0" applyFont="1" applyFill="1" applyBorder="1"/>
    <xf numFmtId="0" fontId="5" fillId="12" borderId="1" xfId="0" applyFont="1" applyFill="1" applyBorder="1" applyAlignment="1">
      <alignment wrapText="1"/>
    </xf>
    <xf numFmtId="167" fontId="5" fillId="12" borderId="1" xfId="0" applyNumberFormat="1" applyFont="1" applyFill="1" applyBorder="1" applyAlignment="1">
      <alignment wrapText="1"/>
    </xf>
    <xf numFmtId="3" fontId="5" fillId="6" borderId="1" xfId="0" applyNumberFormat="1" applyFont="1" applyFill="1" applyBorder="1" applyAlignment="1">
      <alignment vertical="center"/>
    </xf>
    <xf numFmtId="3" fontId="0" fillId="0" borderId="0" xfId="0" applyNumberFormat="1"/>
    <xf numFmtId="3" fontId="3" fillId="2" borderId="1" xfId="0" applyNumberFormat="1" applyFont="1" applyFill="1" applyBorder="1" applyAlignment="1">
      <alignment vertical="center" wrapText="1"/>
    </xf>
    <xf numFmtId="3" fontId="9" fillId="8" borderId="2" xfId="0" applyNumberFormat="1" applyFont="1" applyFill="1" applyBorder="1" applyAlignment="1">
      <alignment vertical="center" wrapText="1"/>
    </xf>
    <xf numFmtId="170" fontId="0" fillId="0" borderId="0" xfId="0" applyNumberFormat="1"/>
    <xf numFmtId="170" fontId="0" fillId="0" borderId="0" xfId="0" applyNumberFormat="1" applyAlignment="1">
      <alignment wrapText="1"/>
    </xf>
    <xf numFmtId="0" fontId="3" fillId="11" borderId="1" xfId="0" applyFont="1" applyFill="1" applyBorder="1" applyAlignment="1">
      <alignment vertical="center" wrapText="1"/>
    </xf>
    <xf numFmtId="0" fontId="0" fillId="14" borderId="0" xfId="0" applyFill="1" applyAlignment="1">
      <alignment wrapText="1"/>
    </xf>
    <xf numFmtId="0" fontId="0" fillId="15" borderId="0" xfId="0" applyFill="1" applyAlignment="1">
      <alignment wrapText="1"/>
    </xf>
    <xf numFmtId="0" fontId="0" fillId="13" borderId="0" xfId="0" applyFill="1" applyAlignment="1">
      <alignment wrapText="1"/>
    </xf>
    <xf numFmtId="170" fontId="7" fillId="3" borderId="1" xfId="0" applyNumberFormat="1" applyFont="1" applyFill="1" applyBorder="1" applyAlignment="1">
      <alignment vertical="center"/>
    </xf>
    <xf numFmtId="170" fontId="0" fillId="0" borderId="1" xfId="0" applyNumberFormat="1" applyBorder="1" applyAlignment="1">
      <alignment vertical="center"/>
    </xf>
    <xf numFmtId="170" fontId="8" fillId="9" borderId="2" xfId="0" applyNumberFormat="1" applyFont="1" applyFill="1" applyBorder="1" applyAlignment="1">
      <alignment vertical="center" wrapText="1"/>
    </xf>
    <xf numFmtId="3" fontId="7" fillId="3" borderId="1" xfId="0" applyNumberFormat="1" applyFont="1" applyFill="1" applyBorder="1" applyAlignment="1">
      <alignment vertical="center"/>
    </xf>
    <xf numFmtId="3" fontId="0" fillId="0" borderId="1" xfId="0" applyNumberFormat="1" applyBorder="1" applyAlignment="1">
      <alignment vertical="center"/>
    </xf>
    <xf numFmtId="171" fontId="0" fillId="0" borderId="1" xfId="0" applyNumberFormat="1" applyBorder="1" applyAlignment="1">
      <alignment vertical="center"/>
    </xf>
    <xf numFmtId="171" fontId="8" fillId="9" borderId="2" xfId="0" applyNumberFormat="1" applyFont="1" applyFill="1" applyBorder="1" applyAlignment="1">
      <alignment vertical="center" wrapText="1"/>
    </xf>
    <xf numFmtId="169" fontId="7" fillId="3" borderId="1" xfId="0" applyNumberFormat="1" applyFont="1" applyFill="1" applyBorder="1" applyAlignment="1">
      <alignment vertical="center"/>
    </xf>
    <xf numFmtId="169" fontId="0" fillId="0" borderId="1" xfId="0" applyNumberFormat="1" applyBorder="1" applyAlignment="1">
      <alignment vertical="center"/>
    </xf>
    <xf numFmtId="170" fontId="5" fillId="6" borderId="1" xfId="0" applyNumberFormat="1" applyFont="1" applyFill="1" applyBorder="1" applyAlignment="1">
      <alignment vertical="center"/>
    </xf>
    <xf numFmtId="171" fontId="5" fillId="6" borderId="1" xfId="0" applyNumberFormat="1" applyFont="1" applyFill="1" applyBorder="1" applyAlignment="1">
      <alignment vertical="center"/>
    </xf>
    <xf numFmtId="168" fontId="5" fillId="6" borderId="1" xfId="0" applyNumberFormat="1" applyFont="1" applyFill="1" applyBorder="1" applyAlignment="1">
      <alignment vertical="center"/>
    </xf>
    <xf numFmtId="0" fontId="14" fillId="16" borderId="4" xfId="0" applyFont="1" applyFill="1" applyBorder="1"/>
    <xf numFmtId="0" fontId="15" fillId="16" borderId="3" xfId="0" applyFont="1" applyFill="1" applyBorder="1" applyAlignment="1">
      <alignment vertical="center" wrapText="1"/>
    </xf>
    <xf numFmtId="0" fontId="14" fillId="16" borderId="3" xfId="0" applyFont="1" applyFill="1" applyBorder="1" applyAlignment="1">
      <alignment vertical="center"/>
    </xf>
    <xf numFmtId="165" fontId="14" fillId="16" borderId="3" xfId="0" applyNumberFormat="1" applyFont="1" applyFill="1" applyBorder="1" applyAlignment="1">
      <alignment vertical="center"/>
    </xf>
    <xf numFmtId="3" fontId="14" fillId="16" borderId="3" xfId="0" applyNumberFormat="1" applyFont="1" applyFill="1" applyBorder="1" applyAlignment="1">
      <alignment vertical="center"/>
    </xf>
    <xf numFmtId="3" fontId="14" fillId="16" borderId="1" xfId="0" applyNumberFormat="1" applyFont="1" applyFill="1" applyBorder="1" applyAlignment="1">
      <alignment vertical="center"/>
    </xf>
    <xf numFmtId="165" fontId="5" fillId="6" borderId="1" xfId="0" applyNumberFormat="1" applyFont="1" applyFill="1" applyBorder="1" applyAlignment="1">
      <alignment wrapText="1"/>
    </xf>
    <xf numFmtId="0" fontId="5" fillId="6" borderId="1" xfId="0" applyFont="1" applyFill="1" applyBorder="1" applyAlignment="1">
      <alignment wrapText="1"/>
    </xf>
    <xf numFmtId="0" fontId="13" fillId="15" borderId="4" xfId="0" applyFont="1" applyFill="1" applyBorder="1" applyAlignment="1" applyProtection="1">
      <alignment wrapText="1"/>
      <protection locked="0"/>
    </xf>
    <xf numFmtId="0" fontId="13" fillId="14" borderId="3" xfId="0" applyFont="1" applyFill="1" applyBorder="1" applyProtection="1">
      <protection locked="0"/>
    </xf>
    <xf numFmtId="0" fontId="13" fillId="18" borderId="4" xfId="0" applyFont="1" applyFill="1" applyBorder="1" applyProtection="1">
      <protection locked="0"/>
    </xf>
    <xf numFmtId="164" fontId="13" fillId="14" borderId="3" xfId="0" applyNumberFormat="1" applyFont="1" applyFill="1" applyBorder="1" applyProtection="1">
      <protection locked="0"/>
    </xf>
    <xf numFmtId="165" fontId="13" fillId="5" borderId="3" xfId="0" applyNumberFormat="1" applyFont="1" applyFill="1" applyBorder="1" applyAlignment="1" applyProtection="1">
      <alignment wrapText="1"/>
      <protection locked="0"/>
    </xf>
    <xf numFmtId="0" fontId="13" fillId="17" borderId="3" xfId="0" applyFont="1" applyFill="1" applyBorder="1" applyAlignment="1" applyProtection="1">
      <alignment wrapText="1"/>
      <protection locked="0"/>
    </xf>
    <xf numFmtId="166" fontId="13" fillId="18" borderId="4" xfId="0" applyNumberFormat="1" applyFont="1" applyFill="1" applyBorder="1" applyProtection="1">
      <protection locked="0"/>
    </xf>
    <xf numFmtId="0" fontId="13" fillId="14" borderId="3" xfId="0" applyFont="1" applyFill="1" applyBorder="1" applyAlignment="1" applyProtection="1">
      <alignment vertical="center"/>
      <protection locked="0"/>
    </xf>
    <xf numFmtId="165" fontId="13" fillId="17" borderId="3" xfId="0" applyNumberFormat="1" applyFont="1" applyFill="1" applyBorder="1" applyAlignment="1" applyProtection="1">
      <alignment vertical="center"/>
      <protection locked="0"/>
    </xf>
    <xf numFmtId="3" fontId="13" fillId="5" borderId="3" xfId="0" applyNumberFormat="1" applyFont="1" applyFill="1" applyBorder="1" applyAlignment="1" applyProtection="1">
      <alignment vertical="center"/>
      <protection locked="0"/>
    </xf>
    <xf numFmtId="170" fontId="12" fillId="14" borderId="3" xfId="0" applyNumberFormat="1" applyFont="1" applyFill="1" applyBorder="1" applyAlignment="1" applyProtection="1">
      <alignment wrapText="1"/>
      <protection locked="0"/>
    </xf>
    <xf numFmtId="0" fontId="12" fillId="14" borderId="3" xfId="0" applyFont="1" applyFill="1" applyBorder="1" applyAlignment="1" applyProtection="1">
      <alignment wrapText="1"/>
      <protection locked="0"/>
    </xf>
    <xf numFmtId="0" fontId="12" fillId="15" borderId="4" xfId="0" applyFont="1" applyFill="1" applyBorder="1" applyAlignment="1" applyProtection="1">
      <alignment wrapText="1"/>
      <protection locked="0"/>
    </xf>
    <xf numFmtId="165" fontId="13" fillId="14" borderId="3" xfId="0" applyNumberFormat="1" applyFont="1" applyFill="1" applyBorder="1" applyAlignment="1" applyProtection="1">
      <alignment vertical="center"/>
      <protection locked="0"/>
    </xf>
    <xf numFmtId="0" fontId="13" fillId="18" borderId="4" xfId="0" applyFont="1" applyFill="1" applyBorder="1" applyAlignment="1" applyProtection="1">
      <alignment vertical="center"/>
      <protection locked="0"/>
    </xf>
    <xf numFmtId="0" fontId="13" fillId="14" borderId="3" xfId="0" applyFont="1" applyFill="1" applyBorder="1" applyAlignment="1" applyProtection="1">
      <alignment wrapText="1"/>
      <protection locked="0"/>
    </xf>
    <xf numFmtId="170" fontId="13" fillId="14" borderId="3" xfId="0" applyNumberFormat="1" applyFont="1" applyFill="1" applyBorder="1" applyAlignment="1" applyProtection="1">
      <alignment wrapText="1"/>
      <protection locked="0"/>
    </xf>
    <xf numFmtId="169" fontId="13" fillId="14" borderId="3" xfId="0" applyNumberFormat="1" applyFont="1" applyFill="1" applyBorder="1" applyAlignment="1" applyProtection="1">
      <alignment wrapText="1"/>
      <protection locked="0"/>
    </xf>
    <xf numFmtId="3" fontId="13" fillId="14" borderId="3" xfId="0" applyNumberFormat="1" applyFont="1" applyFill="1" applyBorder="1" applyAlignment="1" applyProtection="1">
      <alignment vertical="center"/>
      <protection locked="0"/>
    </xf>
    <xf numFmtId="2" fontId="13" fillId="14" borderId="3" xfId="0" applyNumberFormat="1" applyFont="1" applyFill="1" applyBorder="1" applyAlignment="1" applyProtection="1">
      <alignment vertical="center"/>
      <protection locked="0"/>
    </xf>
    <xf numFmtId="168" fontId="13" fillId="14" borderId="3" xfId="0" applyNumberFormat="1" applyFont="1" applyFill="1" applyBorder="1" applyAlignment="1" applyProtection="1">
      <alignment vertical="center"/>
      <protection locked="0"/>
    </xf>
    <xf numFmtId="169" fontId="13" fillId="14" borderId="3" xfId="0" applyNumberFormat="1" applyFont="1" applyFill="1" applyBorder="1" applyAlignment="1" applyProtection="1">
      <alignment vertical="center"/>
      <protection locked="0"/>
    </xf>
    <xf numFmtId="3" fontId="12" fillId="14" borderId="3" xfId="0" applyNumberFormat="1" applyFont="1" applyFill="1" applyBorder="1" applyAlignment="1" applyProtection="1">
      <alignment vertical="center" wrapText="1"/>
      <protection locked="0"/>
    </xf>
    <xf numFmtId="2" fontId="12" fillId="14" borderId="3" xfId="0" applyNumberFormat="1" applyFont="1" applyFill="1" applyBorder="1" applyAlignment="1" applyProtection="1">
      <alignment vertical="center" wrapText="1"/>
      <protection locked="0"/>
    </xf>
    <xf numFmtId="0" fontId="12" fillId="14" borderId="3" xfId="0" applyFont="1" applyFill="1" applyBorder="1" applyAlignment="1" applyProtection="1">
      <alignment vertical="center" wrapText="1"/>
      <protection locked="0"/>
    </xf>
    <xf numFmtId="168" fontId="12" fillId="14" borderId="3" xfId="0" applyNumberFormat="1" applyFont="1" applyFill="1" applyBorder="1" applyAlignment="1" applyProtection="1">
      <alignment vertical="center" wrapText="1"/>
      <protection locked="0"/>
    </xf>
    <xf numFmtId="169" fontId="12" fillId="14" borderId="3" xfId="0" applyNumberFormat="1" applyFont="1" applyFill="1" applyBorder="1" applyAlignment="1" applyProtection="1">
      <alignment vertical="center" wrapText="1"/>
      <protection locked="0"/>
    </xf>
    <xf numFmtId="0" fontId="12" fillId="18" borderId="4" xfId="0" applyFont="1" applyFill="1" applyBorder="1" applyAlignment="1" applyProtection="1">
      <alignment vertical="center" wrapText="1"/>
      <protection locked="0"/>
    </xf>
    <xf numFmtId="3" fontId="13" fillId="15" borderId="4" xfId="0" applyNumberFormat="1" applyFont="1" applyFill="1" applyBorder="1" applyAlignment="1" applyProtection="1">
      <alignment vertical="center"/>
      <protection locked="0"/>
    </xf>
    <xf numFmtId="0" fontId="13" fillId="15" borderId="4" xfId="0" applyFont="1" applyFill="1" applyBorder="1" applyAlignment="1" applyProtection="1">
      <alignment vertical="center"/>
      <protection locked="0"/>
    </xf>
    <xf numFmtId="3" fontId="12" fillId="15" borderId="4" xfId="0" applyNumberFormat="1" applyFont="1" applyFill="1" applyBorder="1" applyAlignment="1" applyProtection="1">
      <alignment vertical="center" wrapText="1"/>
      <protection locked="0"/>
    </xf>
    <xf numFmtId="0" fontId="12" fillId="15" borderId="4" xfId="0" applyFont="1" applyFill="1" applyBorder="1" applyAlignment="1" applyProtection="1">
      <alignment vertical="center" wrapText="1"/>
      <protection locked="0"/>
    </xf>
    <xf numFmtId="164" fontId="13" fillId="15" borderId="4" xfId="0" applyNumberFormat="1" applyFont="1" applyFill="1" applyBorder="1" applyAlignment="1" applyProtection="1">
      <alignment vertical="center"/>
      <protection locked="0"/>
    </xf>
    <xf numFmtId="168" fontId="13" fillId="15" borderId="4" xfId="0" applyNumberFormat="1" applyFont="1" applyFill="1" applyBorder="1" applyAlignment="1" applyProtection="1">
      <alignment vertical="center"/>
      <protection locked="0"/>
    </xf>
    <xf numFmtId="170" fontId="13" fillId="15" borderId="4" xfId="0" applyNumberFormat="1" applyFont="1" applyFill="1" applyBorder="1" applyAlignment="1" applyProtection="1">
      <alignment vertical="center"/>
      <protection locked="0"/>
    </xf>
    <xf numFmtId="168" fontId="12" fillId="15" borderId="4" xfId="0" applyNumberFormat="1" applyFont="1" applyFill="1" applyBorder="1" applyAlignment="1" applyProtection="1">
      <alignment vertical="center" wrapText="1"/>
      <protection locked="0"/>
    </xf>
    <xf numFmtId="0" fontId="13" fillId="14" borderId="3" xfId="0" applyFont="1" applyFill="1" applyBorder="1" applyAlignment="1" applyProtection="1">
      <alignment vertical="center" wrapText="1"/>
      <protection locked="0"/>
    </xf>
    <xf numFmtId="0" fontId="1" fillId="2" borderId="0" xfId="0" applyFont="1" applyFill="1" applyAlignment="1">
      <alignment vertical="center"/>
    </xf>
    <xf numFmtId="0" fontId="2" fillId="3" borderId="0" xfId="0" applyFont="1" applyFill="1" applyAlignment="1">
      <alignment vertical="center" wrapText="1"/>
    </xf>
    <xf numFmtId="0" fontId="0" fillId="12" borderId="0" xfId="0" applyFill="1" applyAlignment="1">
      <alignment wrapText="1"/>
    </xf>
    <xf numFmtId="0" fontId="0" fillId="0" borderId="0" xfId="0"/>
    <xf numFmtId="0" fontId="0" fillId="0" borderId="0" xfId="0" applyAlignment="1">
      <alignment wrapText="1"/>
    </xf>
    <xf numFmtId="0" fontId="3" fillId="11" borderId="0" xfId="0" applyFont="1" applyFill="1" applyAlignment="1">
      <alignment wrapText="1"/>
    </xf>
    <xf numFmtId="0" fontId="16" fillId="0" borderId="0" xfId="0" applyFont="1" applyAlignment="1">
      <alignment wrapText="1"/>
    </xf>
    <xf numFmtId="0" fontId="3" fillId="4" borderId="0" xfId="0" applyFont="1" applyFill="1" applyAlignment="1">
      <alignment vertical="center"/>
    </xf>
    <xf numFmtId="0" fontId="3" fillId="4" borderId="0" xfId="0" applyFont="1" applyFill="1" applyAlignment="1">
      <alignment vertical="center" wrapText="1"/>
    </xf>
    <xf numFmtId="0" fontId="9" fillId="11" borderId="0" xfId="0" applyFont="1" applyFill="1" applyAlignment="1">
      <alignment wrapText="1"/>
    </xf>
    <xf numFmtId="0" fontId="10" fillId="12" borderId="0" xfId="0" applyFont="1" applyFill="1" applyAlignment="1">
      <alignment wrapText="1"/>
    </xf>
    <xf numFmtId="0" fontId="0" fillId="19" borderId="0" xfId="0" applyFill="1" applyAlignment="1">
      <alignment wrapText="1"/>
    </xf>
    <xf numFmtId="3" fontId="3" fillId="4" borderId="0" xfId="0" applyNumberFormat="1" applyFont="1" applyFill="1" applyAlignment="1">
      <alignment vertical="center"/>
    </xf>
    <xf numFmtId="0" fontId="6" fillId="3" borderId="0" xfId="0" applyFont="1" applyFill="1" applyAlignment="1">
      <alignment vertical="center" wrapText="1"/>
    </xf>
    <xf numFmtId="3" fontId="6" fillId="3" borderId="0" xfId="0" applyNumberFormat="1" applyFont="1" applyFill="1" applyAlignment="1">
      <alignment vertical="center" wrapText="1"/>
    </xf>
    <xf numFmtId="0" fontId="3" fillId="2" borderId="1" xfId="0" applyFont="1" applyFill="1" applyBorder="1" applyAlignment="1">
      <alignment vertical="center" wrapText="1"/>
    </xf>
    <xf numFmtId="0" fontId="0" fillId="0" borderId="1" xfId="0" applyBorder="1" applyAlignment="1">
      <alignment vertical="center" wrapText="1"/>
    </xf>
    <xf numFmtId="166" fontId="4" fillId="7" borderId="1" xfId="0" applyNumberFormat="1" applyFont="1" applyFill="1" applyBorder="1" applyAlignment="1">
      <alignment vertical="center" wrapText="1"/>
    </xf>
    <xf numFmtId="166" fontId="5" fillId="6" borderId="1" xfId="0" applyNumberFormat="1" applyFont="1" applyFill="1" applyBorder="1" applyAlignment="1">
      <alignment vertical="center" wrapText="1"/>
    </xf>
    <xf numFmtId="0" fontId="5" fillId="6" borderId="1" xfId="0" applyFont="1" applyFill="1" applyBorder="1" applyAlignment="1">
      <alignment vertical="center" wrapText="1"/>
    </xf>
    <xf numFmtId="0" fontId="0" fillId="3" borderId="0" xfId="0" applyFill="1" applyAlignment="1">
      <alignment vertical="center" wrapText="1"/>
    </xf>
    <xf numFmtId="0" fontId="3" fillId="8" borderId="0" xfId="0" applyFont="1" applyFill="1" applyAlignment="1">
      <alignment vertical="center" wrapText="1"/>
    </xf>
  </cellXfs>
  <cellStyles count="1">
    <cellStyle name="Normal" xfId="0" builtinId="0"/>
  </cellStyles>
  <dxfs count="3">
    <dxf>
      <font>
        <color rgb="FF777777"/>
      </font>
      <fill>
        <patternFill>
          <bgColor rgb="FFE7E6E6"/>
        </patternFill>
      </fill>
    </dxf>
    <dxf>
      <font>
        <color rgb="FF65747B"/>
      </font>
      <fill>
        <patternFill>
          <bgColor rgb="FFE7ECEF"/>
        </patternFill>
      </fill>
    </dxf>
    <dxf>
      <font>
        <color rgb="FF777777"/>
      </font>
      <fill>
        <patternFill>
          <bgColor rgb="FFE7E6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t>Full actual service cost</a:t>
            </a:r>
          </a:p>
        </c:rich>
      </c:tx>
      <c:overlay val="0"/>
    </c:title>
    <c:autoTitleDeleted val="0"/>
    <c:plotArea>
      <c:layout/>
      <c:barChart>
        <c:barDir val="col"/>
        <c:grouping val="clustered"/>
        <c:varyColors val="0"/>
        <c:ser>
          <c:idx val="0"/>
          <c:order val="0"/>
          <c:tx>
            <c:v>Full cost</c:v>
          </c:tx>
          <c:invertIfNegative val="1"/>
          <c:cat>
            <c:strRef>
              <c:f>'13 Results Dashboard'!$A$37:$A$58</c:f>
              <c:strCache>
                <c:ptCount val="22"/>
                <c:pt idx="0">
                  <c:v>Combined adult inpatient — all sites</c:v>
                </c:pt>
                <c:pt idx="1">
                  <c:v>Outpatient</c:v>
                </c:pt>
                <c:pt idx="2">
                  <c:v>Hospital in-reach</c:v>
                </c:pt>
                <c:pt idx="3">
                  <c:v>Virtual Wards / Hospice at Home</c:v>
                </c:pt>
                <c:pt idx="4">
                  <c:v>Specialist visiting</c:v>
                </c:pt>
                <c:pt idx="5">
                  <c:v>Rapid response</c:v>
                </c:pt>
                <c:pt idx="6">
                  <c:v>Generalist community visiting (HCAs)</c:v>
                </c:pt>
                <c:pt idx="7">
                  <c:v>Generalist community visiting (nurses)</c:v>
                </c:pt>
                <c:pt idx="8">
                  <c:v>Domiciliary / home care</c:v>
                </c:pt>
                <c:pt idx="9">
                  <c:v>Lymphoedema</c:v>
                </c:pt>
                <c:pt idx="10">
                  <c:v>Bereavement</c:v>
                </c:pt>
                <c:pt idx="11">
                  <c:v>Family and carer support</c:v>
                </c:pt>
                <c:pt idx="12">
                  <c:v>Living well services</c:v>
                </c:pt>
                <c:pt idx="13">
                  <c:v>Respite</c:v>
                </c:pt>
                <c:pt idx="14">
                  <c:v>Specialist community visiting</c:v>
                </c:pt>
                <c:pt idx="15">
                  <c:v>Generalist community visiting</c:v>
                </c:pt>
                <c:pt idx="16">
                  <c:v>End-of-life care</c:v>
                </c:pt>
                <c:pt idx="17">
                  <c:v>Hospital in-reach</c:v>
                </c:pt>
                <c:pt idx="18">
                  <c:v>Therapies</c:v>
                </c:pt>
                <c:pt idx="19">
                  <c:v>Family support</c:v>
                </c:pt>
                <c:pt idx="20">
                  <c:v>Bereavement services</c:v>
                </c:pt>
                <c:pt idx="21">
                  <c:v>Day services</c:v>
                </c:pt>
              </c:strCache>
            </c:strRef>
          </c:cat>
          <c:val>
            <c:numRef>
              <c:f>'13 Results Dashboard'!$B$37:$B$58</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C9BD-9748-BD3B-433EEBCB81B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0</xdr:colOff>
      <xdr:row>3</xdr:row>
      <xdr:rowOff>0</xdr:rowOff>
    </xdr:from>
    <xdr:to>
      <xdr:col>22</xdr:col>
      <xdr:colOff>0</xdr:colOff>
      <xdr:row>22</xdr:row>
      <xdr:rowOff>0</xdr:rowOff>
    </xdr:to>
    <xdr:graphicFrame macro="">
      <xdr:nvGraphicFramePr>
        <xdr:cNvPr id="2" name="Chart">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showGridLines="0" tabSelected="1" workbookViewId="0">
      <selection sqref="A1:H1"/>
    </sheetView>
  </sheetViews>
  <sheetFormatPr baseColWidth="10" defaultColWidth="8.83203125" defaultRowHeight="14"/>
  <cols>
    <col min="1" max="1" width="10" customWidth="1"/>
    <col min="2" max="2" width="37" customWidth="1"/>
    <col min="3" max="3" width="66" customWidth="1"/>
    <col min="4" max="4" width="23" customWidth="1"/>
    <col min="5" max="5" width="3" customWidth="1"/>
    <col min="6" max="8" width="24" customWidth="1"/>
  </cols>
  <sheetData>
    <row r="1" spans="1:8" ht="30" customHeight="1">
      <c r="A1" s="116" t="s">
        <v>0</v>
      </c>
      <c r="B1" s="116"/>
      <c r="C1" s="116"/>
      <c r="D1" s="116"/>
      <c r="E1" s="116"/>
      <c r="F1" s="116"/>
      <c r="G1" s="116"/>
      <c r="H1" s="116"/>
    </row>
    <row r="2" spans="1:8" ht="50" customHeight="1">
      <c r="A2" s="113" t="s">
        <v>1</v>
      </c>
      <c r="B2" s="113"/>
      <c r="C2" s="113"/>
      <c r="D2" s="113"/>
      <c r="E2" s="113"/>
      <c r="F2" s="113"/>
      <c r="G2" s="113"/>
      <c r="H2" s="113"/>
    </row>
    <row r="3" spans="1:8">
      <c r="A3" s="21"/>
      <c r="B3" s="21"/>
      <c r="C3" s="21"/>
      <c r="D3" s="21"/>
      <c r="E3" s="21"/>
      <c r="F3" s="21"/>
      <c r="G3" s="21"/>
      <c r="H3" s="21"/>
    </row>
    <row r="4" spans="1:8" ht="46" customHeight="1">
      <c r="A4" s="36" t="s">
        <v>2</v>
      </c>
      <c r="B4" s="36" t="s">
        <v>3</v>
      </c>
      <c r="C4" s="36" t="s">
        <v>4</v>
      </c>
      <c r="D4" s="36" t="s">
        <v>5</v>
      </c>
      <c r="E4" s="21"/>
      <c r="F4" s="36" t="s">
        <v>6</v>
      </c>
      <c r="G4" s="36" t="s">
        <v>7</v>
      </c>
      <c r="H4" s="36" t="s">
        <v>8</v>
      </c>
    </row>
    <row r="5" spans="1:8" ht="42" customHeight="1">
      <c r="A5" s="21">
        <v>2</v>
      </c>
      <c r="B5" s="21" t="s">
        <v>9</v>
      </c>
      <c r="C5" s="21" t="s">
        <v>10</v>
      </c>
      <c r="D5" s="74"/>
      <c r="E5" s="21"/>
      <c r="F5" s="51" t="s">
        <v>11</v>
      </c>
      <c r="G5" s="21" t="s">
        <v>12</v>
      </c>
      <c r="H5" s="21" t="s">
        <v>13</v>
      </c>
    </row>
    <row r="6" spans="1:8" ht="42" customHeight="1">
      <c r="A6" s="21">
        <v>3</v>
      </c>
      <c r="B6" s="21" t="s">
        <v>14</v>
      </c>
      <c r="C6" s="21" t="s">
        <v>15</v>
      </c>
      <c r="D6" s="74"/>
      <c r="E6" s="21"/>
      <c r="F6" s="52" t="s">
        <v>16</v>
      </c>
      <c r="G6" s="21" t="s">
        <v>17</v>
      </c>
      <c r="H6" s="21" t="s">
        <v>18</v>
      </c>
    </row>
    <row r="7" spans="1:8" ht="42" customHeight="1">
      <c r="A7" s="21">
        <v>4</v>
      </c>
      <c r="B7" s="21" t="s">
        <v>19</v>
      </c>
      <c r="C7" s="21" t="s">
        <v>20</v>
      </c>
      <c r="D7" s="74"/>
      <c r="E7" s="21"/>
      <c r="F7" s="53" t="s">
        <v>21</v>
      </c>
      <c r="G7" s="21" t="s">
        <v>22</v>
      </c>
      <c r="H7" s="21" t="s">
        <v>23</v>
      </c>
    </row>
    <row r="8" spans="1:8" ht="42" customHeight="1">
      <c r="A8" s="21">
        <v>5</v>
      </c>
      <c r="B8" s="21" t="s">
        <v>24</v>
      </c>
      <c r="C8" s="21" t="s">
        <v>25</v>
      </c>
      <c r="D8" s="74"/>
      <c r="E8" s="21"/>
      <c r="F8" s="21"/>
      <c r="G8" s="21"/>
      <c r="H8" s="21"/>
    </row>
    <row r="9" spans="1:8" ht="42" customHeight="1">
      <c r="A9" s="21">
        <v>6</v>
      </c>
      <c r="B9" s="21" t="s">
        <v>26</v>
      </c>
      <c r="C9" s="21" t="s">
        <v>27</v>
      </c>
      <c r="D9" s="74"/>
      <c r="E9" s="21"/>
      <c r="F9" s="21" t="s">
        <v>28</v>
      </c>
      <c r="G9" s="117" t="str">
        <f>'12 Checks &amp; Completion'!F21</f>
        <v>ERRORS TO FIX</v>
      </c>
      <c r="H9" s="117"/>
    </row>
    <row r="10" spans="1:8" ht="42" customHeight="1">
      <c r="A10" s="21">
        <v>7</v>
      </c>
      <c r="B10" s="21" t="s">
        <v>29</v>
      </c>
      <c r="C10" s="21" t="s">
        <v>30</v>
      </c>
      <c r="D10" s="74"/>
      <c r="E10" s="21"/>
      <c r="F10" s="21"/>
      <c r="G10" s="21"/>
      <c r="H10" s="21"/>
    </row>
    <row r="11" spans="1:8" ht="42" customHeight="1">
      <c r="A11" s="21">
        <v>8</v>
      </c>
      <c r="B11" s="21" t="s">
        <v>31</v>
      </c>
      <c r="C11" s="21" t="s">
        <v>32</v>
      </c>
      <c r="D11" s="74"/>
      <c r="E11" s="21"/>
      <c r="F11" s="21"/>
      <c r="G11" s="21"/>
      <c r="H11" s="21"/>
    </row>
    <row r="12" spans="1:8" ht="42" customHeight="1">
      <c r="A12" s="21">
        <v>9</v>
      </c>
      <c r="B12" s="21" t="s">
        <v>33</v>
      </c>
      <c r="C12" s="21" t="s">
        <v>34</v>
      </c>
      <c r="D12" s="74"/>
      <c r="E12" s="21"/>
      <c r="F12" s="21"/>
      <c r="G12" s="21"/>
      <c r="H12" s="21"/>
    </row>
    <row r="13" spans="1:8" ht="42" customHeight="1">
      <c r="A13" s="21">
        <v>10</v>
      </c>
      <c r="B13" s="21" t="s">
        <v>35</v>
      </c>
      <c r="C13" s="21" t="s">
        <v>36</v>
      </c>
      <c r="D13" s="74"/>
      <c r="E13" s="21"/>
      <c r="F13" s="21"/>
      <c r="G13" s="21"/>
      <c r="H13" s="21"/>
    </row>
    <row r="14" spans="1:8" ht="42" customHeight="1">
      <c r="A14" s="21">
        <v>11</v>
      </c>
      <c r="B14" s="21" t="s">
        <v>37</v>
      </c>
      <c r="C14" s="21" t="s">
        <v>38</v>
      </c>
      <c r="D14" s="74"/>
      <c r="E14" s="21"/>
      <c r="F14" s="21"/>
      <c r="G14" s="21"/>
      <c r="H14" s="21"/>
    </row>
    <row r="15" spans="1:8" ht="42" customHeight="1">
      <c r="A15" s="21">
        <v>12</v>
      </c>
      <c r="B15" s="21" t="s">
        <v>39</v>
      </c>
      <c r="C15" s="21" t="s">
        <v>40</v>
      </c>
      <c r="D15" s="74"/>
      <c r="E15" s="21"/>
      <c r="F15" s="21"/>
      <c r="G15" s="21"/>
      <c r="H15" s="21"/>
    </row>
    <row r="16" spans="1:8" ht="42" customHeight="1">
      <c r="A16" s="21">
        <v>13</v>
      </c>
      <c r="B16" s="21" t="s">
        <v>41</v>
      </c>
      <c r="C16" s="21" t="s">
        <v>42</v>
      </c>
      <c r="D16" s="74"/>
      <c r="E16" s="21"/>
      <c r="F16" s="21"/>
      <c r="G16" s="21"/>
      <c r="H16" s="21"/>
    </row>
    <row r="17" spans="1:8" ht="42" customHeight="1">
      <c r="A17" s="21">
        <v>14</v>
      </c>
      <c r="B17" s="21" t="s">
        <v>43</v>
      </c>
      <c r="C17" s="21" t="s">
        <v>44</v>
      </c>
      <c r="D17" s="74"/>
      <c r="E17" s="21"/>
      <c r="F17" s="21"/>
      <c r="G17" s="21"/>
      <c r="H17" s="21"/>
    </row>
    <row r="18" spans="1:8" ht="42" customHeight="1">
      <c r="A18" s="21">
        <v>15</v>
      </c>
      <c r="B18" s="21" t="s">
        <v>45</v>
      </c>
      <c r="C18" s="21" t="s">
        <v>46</v>
      </c>
      <c r="D18" s="74"/>
      <c r="E18" s="36"/>
      <c r="F18" s="21"/>
      <c r="G18" s="21"/>
      <c r="H18" s="21"/>
    </row>
    <row r="19" spans="1:8" ht="42" customHeight="1">
      <c r="E19" s="21"/>
      <c r="F19" s="21"/>
      <c r="G19" s="21"/>
      <c r="H19" s="21"/>
    </row>
    <row r="20" spans="1:8" ht="42" customHeight="1">
      <c r="A20" s="113" t="s">
        <v>47</v>
      </c>
      <c r="B20" s="114"/>
      <c r="C20" s="114"/>
      <c r="D20" s="114"/>
      <c r="E20" s="115"/>
      <c r="F20" s="115"/>
      <c r="G20" s="115"/>
      <c r="H20" s="115"/>
    </row>
    <row r="21" spans="1:8" ht="42" customHeight="1">
      <c r="A21" s="114"/>
      <c r="B21" s="114"/>
      <c r="C21" s="114"/>
      <c r="D21" s="114"/>
      <c r="E21" s="115"/>
      <c r="F21" s="115"/>
      <c r="G21" s="115"/>
      <c r="H21" s="115"/>
    </row>
    <row r="22" spans="1:8">
      <c r="A22" s="21"/>
      <c r="B22" s="21"/>
      <c r="C22" s="21"/>
      <c r="D22" s="21"/>
      <c r="E22" s="21"/>
      <c r="F22" s="21"/>
      <c r="G22" s="21"/>
      <c r="H22" s="21"/>
    </row>
    <row r="23" spans="1:8" ht="24" customHeight="1">
      <c r="A23" s="21"/>
      <c r="B23" s="21"/>
      <c r="C23" s="21"/>
      <c r="D23" s="21"/>
      <c r="E23" s="21"/>
      <c r="F23" s="21"/>
      <c r="G23" s="21"/>
      <c r="H23" s="21"/>
    </row>
    <row r="24" spans="1:8" ht="50" customHeight="1">
      <c r="A24" s="113" t="s">
        <v>48</v>
      </c>
      <c r="B24" s="113"/>
      <c r="C24" s="113"/>
      <c r="D24" s="113"/>
      <c r="E24" s="113"/>
      <c r="F24" s="113"/>
      <c r="G24" s="113"/>
      <c r="H24" s="113"/>
    </row>
    <row r="25" spans="1:8">
      <c r="A25" s="21"/>
      <c r="B25" s="21"/>
      <c r="C25" s="21"/>
      <c r="D25" s="21"/>
      <c r="E25" s="21"/>
      <c r="F25" s="21"/>
      <c r="G25" s="21"/>
      <c r="H25" s="21"/>
    </row>
    <row r="26" spans="1:8" ht="45" customHeight="1">
      <c r="A26" s="113" t="s">
        <v>49</v>
      </c>
      <c r="B26" s="113"/>
      <c r="C26" s="113"/>
      <c r="D26" s="113"/>
      <c r="E26" s="113"/>
      <c r="F26" s="113"/>
      <c r="G26" s="113"/>
      <c r="H26" s="113"/>
    </row>
    <row r="27" spans="1:8">
      <c r="A27" s="21"/>
      <c r="B27" s="21"/>
      <c r="C27" s="21"/>
      <c r="D27" s="21"/>
      <c r="E27" s="21"/>
      <c r="F27" s="21"/>
      <c r="G27" s="21"/>
      <c r="H27" s="21"/>
    </row>
    <row r="28" spans="1:8" ht="48" customHeight="1">
      <c r="A28" s="113" t="s">
        <v>50</v>
      </c>
      <c r="B28" s="113"/>
      <c r="C28" s="113"/>
      <c r="D28" s="113"/>
      <c r="E28" s="113"/>
      <c r="F28" s="113"/>
      <c r="G28" s="113"/>
      <c r="H28" s="113"/>
    </row>
    <row r="29" spans="1:8">
      <c r="A29" s="21"/>
      <c r="B29" s="21"/>
      <c r="C29" s="21"/>
      <c r="D29" s="21"/>
      <c r="E29" s="21"/>
      <c r="F29" s="21"/>
      <c r="G29" s="21"/>
      <c r="H29" s="21"/>
    </row>
    <row r="30" spans="1:8">
      <c r="A30" s="21"/>
      <c r="B30" s="21"/>
      <c r="C30" s="21"/>
      <c r="D30" s="21"/>
      <c r="E30" s="21"/>
      <c r="F30" s="21"/>
      <c r="G30" s="21"/>
      <c r="H30" s="21"/>
    </row>
    <row r="32" spans="1:8" ht="28" customHeight="1"/>
    <row r="33" ht="46" customHeight="1"/>
    <row r="34" ht="46" customHeight="1"/>
    <row r="35" ht="46" customHeight="1"/>
    <row r="36" ht="46" customHeight="1"/>
    <row r="37" ht="46" customHeight="1"/>
    <row r="38" ht="46" customHeight="1"/>
  </sheetData>
  <sheetProtection sheet="1" objects="1" scenarios="1" formatColumns="0" formatRows="0"/>
  <mergeCells count="7">
    <mergeCell ref="A28:H28"/>
    <mergeCell ref="A20:H21"/>
    <mergeCell ref="A1:H1"/>
    <mergeCell ref="A2:H2"/>
    <mergeCell ref="G9:H9"/>
    <mergeCell ref="A24:H24"/>
    <mergeCell ref="A26:H26"/>
  </mergeCells>
  <dataValidations count="1">
    <dataValidation type="list" allowBlank="1" showErrorMessage="1" errorTitle="Choose a listed value" error="Use the dropdown list." sqref="D5:D18" xr:uid="{00000000-0002-0000-0000-000000000000}">
      <formula1>"To do,Done,Not applicable"</formula1>
    </dataValidation>
  </dataValidations>
  <hyperlinks>
    <hyperlink ref="B5" location="'02 Hospice Setup'!A1" display="02 Hospice Setup" xr:uid="{00000000-0004-0000-0000-000000000000}"/>
    <hyperlink ref="B6" location="'03 Catering Adjustment'!A1" display="03 Catering Adjustment" xr:uid="{00000000-0004-0000-0000-000001000000}"/>
    <hyperlink ref="B7" location="'04 Service Costs'!A1" display="04 Service Costs" xr:uid="{00000000-0004-0000-0000-000002000000}"/>
    <hyperlink ref="B8" location="'05 Support &amp; Income'!A1" display="05 Support &amp; Income" xr:uid="{00000000-0004-0000-0000-000003000000}"/>
    <hyperlink ref="B9" location="'06 Shared Cost Pools'!A1" display="06 Shared Cost Pools" xr:uid="{00000000-0004-0000-0000-000004000000}"/>
    <hyperlink ref="B10" location="'07 Support Drivers'!A1" display="07 Support Drivers" xr:uid="{00000000-0004-0000-0000-000005000000}"/>
    <hyperlink ref="B11" location="'08 Allocation Data'!A1" display="08 Allocation Data" xr:uid="{00000000-0004-0000-0000-000006000000}"/>
    <hyperlink ref="B12" location="'09 Core Activity &amp; Capacity'!A1" display="09 Core Activity &amp; Capacity" xr:uid="{00000000-0004-0000-0000-000007000000}"/>
    <hyperlink ref="B13" location="'10 Optional IPU Care Type'!A1" display="10 Optional IPU Care Type" xr:uid="{00000000-0004-0000-0000-000008000000}"/>
    <hyperlink ref="B14" location="'11 Optional Community'!A1" display="11 Optional Community" xr:uid="{00000000-0004-0000-0000-000009000000}"/>
    <hyperlink ref="B15" location="'12 Checks &amp; Completion'!A1" display="12 Checks &amp; Completion" xr:uid="{00000000-0004-0000-0000-00000A000000}"/>
    <hyperlink ref="B16" location="'13 Results Dashboard'!A1" display="13 Results Dashboard" xr:uid="{00000000-0004-0000-0000-00000B000000}"/>
    <hyperlink ref="B17" location="'14 Detailed Results'!A1" display="14 Detailed Results" xr:uid="{00000000-0004-0000-0000-00000C000000}"/>
    <hyperlink ref="B18" location="'15 Enhanced Analysis'!A1" display="15 Enhanced Analysis"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3"/>
  <sheetViews>
    <sheetView showGridLines="0" workbookViewId="0"/>
  </sheetViews>
  <sheetFormatPr baseColWidth="10" defaultColWidth="8.83203125" defaultRowHeight="14"/>
  <cols>
    <col min="1" max="1" width="39" customWidth="1"/>
    <col min="2" max="2" width="25" customWidth="1"/>
    <col min="3" max="3" width="38" customWidth="1"/>
    <col min="4" max="4" width="42" customWidth="1"/>
    <col min="5" max="5" width="14" customWidth="1"/>
    <col min="6" max="6" width="20" customWidth="1"/>
    <col min="7" max="7" width="24" customWidth="1"/>
    <col min="8" max="8" width="21" customWidth="1"/>
    <col min="9" max="9" width="18" customWidth="1"/>
    <col min="10" max="10" width="24" customWidth="1"/>
    <col min="11" max="11" width="18" customWidth="1"/>
    <col min="12" max="13" width="20" customWidth="1"/>
    <col min="14" max="14" width="18" customWidth="1"/>
    <col min="15" max="15" width="28" customWidth="1"/>
    <col min="16" max="16" width="18" customWidth="1"/>
    <col min="17" max="18" width="22" customWidth="1"/>
    <col min="19" max="19" width="20" customWidth="1"/>
    <col min="20" max="20" width="34" customWidth="1"/>
  </cols>
  <sheetData>
    <row r="1" spans="1:20" ht="34" customHeight="1">
      <c r="A1" s="111" t="s">
        <v>9</v>
      </c>
      <c r="B1" s="111"/>
      <c r="C1" s="111"/>
      <c r="D1" s="111"/>
      <c r="E1" s="111"/>
      <c r="F1" s="111"/>
      <c r="G1" s="111"/>
      <c r="H1" s="111"/>
      <c r="I1" s="111"/>
      <c r="J1" s="111"/>
      <c r="K1" s="111"/>
      <c r="L1" s="111"/>
      <c r="M1" s="111"/>
      <c r="N1" s="111"/>
      <c r="O1" s="111"/>
      <c r="P1" s="111"/>
      <c r="Q1" s="111"/>
      <c r="R1" s="111"/>
      <c r="S1" s="111"/>
      <c r="T1" s="111"/>
    </row>
    <row r="2" spans="1:20" ht="28" customHeight="1">
      <c r="A2" s="112" t="s">
        <v>51</v>
      </c>
      <c r="B2" s="112"/>
      <c r="C2" s="112"/>
      <c r="D2" s="112"/>
      <c r="E2" s="112"/>
      <c r="F2" s="112"/>
      <c r="G2" s="112"/>
      <c r="H2" s="112"/>
      <c r="I2" s="112"/>
      <c r="J2" s="112"/>
      <c r="K2" s="112"/>
      <c r="L2" s="112"/>
      <c r="M2" s="112"/>
      <c r="N2" s="112"/>
      <c r="O2" s="112"/>
      <c r="P2" s="112"/>
      <c r="Q2" s="112"/>
      <c r="R2" s="112"/>
      <c r="S2" s="112"/>
      <c r="T2" s="112"/>
    </row>
    <row r="4" spans="1:20" ht="24" customHeight="1">
      <c r="A4" s="118" t="s">
        <v>52</v>
      </c>
      <c r="B4" s="118"/>
      <c r="C4" s="118"/>
      <c r="D4" s="118"/>
      <c r="E4" s="118"/>
      <c r="F4" s="118"/>
      <c r="G4" s="118"/>
      <c r="H4" s="118"/>
    </row>
    <row r="5" spans="1:20">
      <c r="A5" t="s">
        <v>53</v>
      </c>
      <c r="B5" s="75"/>
      <c r="D5" t="s">
        <v>54</v>
      </c>
      <c r="E5" s="75"/>
      <c r="F5" s="66"/>
      <c r="G5" s="66" t="s">
        <v>55</v>
      </c>
      <c r="H5" s="66" t="s">
        <v>56</v>
      </c>
    </row>
    <row r="6" spans="1:20">
      <c r="A6" t="s">
        <v>57</v>
      </c>
      <c r="B6" s="75"/>
      <c r="D6" t="s">
        <v>58</v>
      </c>
      <c r="E6" s="75" t="s">
        <v>59</v>
      </c>
      <c r="F6" s="66"/>
      <c r="G6" s="66" t="s">
        <v>60</v>
      </c>
      <c r="H6" s="66" t="s">
        <v>61</v>
      </c>
    </row>
    <row r="7" spans="1:20">
      <c r="A7" t="s">
        <v>62</v>
      </c>
      <c r="B7" s="76"/>
      <c r="D7" t="s">
        <v>63</v>
      </c>
      <c r="E7" s="77"/>
      <c r="G7" t="s">
        <v>64</v>
      </c>
      <c r="H7" s="77"/>
    </row>
    <row r="8" spans="1:20">
      <c r="A8" t="s">
        <v>65</v>
      </c>
      <c r="B8" s="76"/>
      <c r="D8" t="s">
        <v>66</v>
      </c>
      <c r="E8" s="41" t="s">
        <v>67</v>
      </c>
      <c r="H8" s="4"/>
    </row>
    <row r="10" spans="1:20" ht="24" customHeight="1">
      <c r="A10" s="119" t="s">
        <v>68</v>
      </c>
      <c r="B10" s="119"/>
      <c r="C10" s="119"/>
      <c r="D10" s="119"/>
      <c r="E10" s="118"/>
      <c r="F10" s="118"/>
      <c r="G10" s="118"/>
      <c r="H10" s="118"/>
    </row>
    <row r="11" spans="1:20" ht="30" customHeight="1">
      <c r="A11" s="2" t="s">
        <v>69</v>
      </c>
      <c r="B11" s="2" t="s">
        <v>70</v>
      </c>
      <c r="C11" s="2" t="s">
        <v>71</v>
      </c>
      <c r="D11" s="2" t="s">
        <v>72</v>
      </c>
    </row>
    <row r="12" spans="1:20" ht="30" customHeight="1">
      <c r="A12" s="21" t="s">
        <v>73</v>
      </c>
      <c r="B12" s="78">
        <v>0</v>
      </c>
      <c r="C12" s="21" t="s">
        <v>74</v>
      </c>
      <c r="D12" s="21" t="s">
        <v>75</v>
      </c>
    </row>
    <row r="13" spans="1:20" ht="30" customHeight="1">
      <c r="A13" s="21" t="s">
        <v>76</v>
      </c>
      <c r="B13" s="78">
        <v>0</v>
      </c>
      <c r="C13" s="21" t="s">
        <v>74</v>
      </c>
      <c r="D13" s="21" t="s">
        <v>77</v>
      </c>
    </row>
    <row r="14" spans="1:20" ht="30" customHeight="1">
      <c r="A14" s="21" t="s">
        <v>78</v>
      </c>
      <c r="B14" s="72">
        <f>'03 Catering Adjustment'!B16</f>
        <v>0</v>
      </c>
      <c r="C14" s="21" t="s">
        <v>79</v>
      </c>
      <c r="D14" s="21" t="s">
        <v>80</v>
      </c>
    </row>
    <row r="15" spans="1:20" ht="30" customHeight="1">
      <c r="A15" s="21" t="s">
        <v>81</v>
      </c>
      <c r="B15" s="78">
        <v>0</v>
      </c>
      <c r="C15" s="21" t="s">
        <v>74</v>
      </c>
      <c r="D15" s="79" t="s">
        <v>82</v>
      </c>
    </row>
    <row r="16" spans="1:20" ht="30" customHeight="1">
      <c r="A16" s="21" t="s">
        <v>83</v>
      </c>
      <c r="B16" s="72">
        <f>B12-B13-B14-B15</f>
        <v>0</v>
      </c>
      <c r="C16" s="73" t="str">
        <f>IF(ABS(B16-'12 Checks &amp; Completion'!C6)&lt;=1,"OK","ERROR")</f>
        <v>OK</v>
      </c>
      <c r="D16" s="21" t="s">
        <v>84</v>
      </c>
    </row>
    <row r="18" spans="1:20" ht="24" customHeight="1">
      <c r="A18" s="118" t="s">
        <v>85</v>
      </c>
      <c r="B18" s="118"/>
      <c r="C18" s="118"/>
      <c r="D18" s="118"/>
      <c r="E18" s="118"/>
      <c r="F18" s="118"/>
      <c r="G18" s="118"/>
      <c r="H18" s="118"/>
      <c r="I18" s="118"/>
      <c r="J18" s="118"/>
      <c r="K18" s="118"/>
      <c r="L18" s="118"/>
      <c r="M18" s="118"/>
      <c r="N18" s="118"/>
      <c r="O18" s="118"/>
      <c r="P18" s="118"/>
      <c r="Q18" s="118"/>
      <c r="R18" s="118"/>
      <c r="S18" s="118"/>
      <c r="T18" s="118"/>
    </row>
    <row r="19" spans="1:20" ht="30" customHeight="1">
      <c r="A19" s="2" t="s">
        <v>86</v>
      </c>
      <c r="B19" s="2" t="s">
        <v>87</v>
      </c>
      <c r="C19" s="2" t="s">
        <v>88</v>
      </c>
      <c r="D19" s="2" t="s">
        <v>89</v>
      </c>
      <c r="E19" s="2" t="s">
        <v>90</v>
      </c>
      <c r="F19" s="2" t="s">
        <v>91</v>
      </c>
      <c r="G19" s="2" t="s">
        <v>92</v>
      </c>
      <c r="H19" s="2" t="s">
        <v>93</v>
      </c>
      <c r="I19" s="2" t="s">
        <v>94</v>
      </c>
      <c r="J19" s="2" t="s">
        <v>95</v>
      </c>
      <c r="K19" s="2" t="s">
        <v>96</v>
      </c>
      <c r="L19" s="2" t="s">
        <v>97</v>
      </c>
      <c r="M19" s="2" t="s">
        <v>98</v>
      </c>
      <c r="N19" s="2" t="s">
        <v>99</v>
      </c>
      <c r="O19" s="2" t="s">
        <v>72</v>
      </c>
      <c r="P19" s="2" t="s">
        <v>100</v>
      </c>
      <c r="Q19" s="2" t="s">
        <v>101</v>
      </c>
      <c r="R19" s="2" t="s">
        <v>102</v>
      </c>
      <c r="S19" s="2" t="s">
        <v>103</v>
      </c>
      <c r="T19" s="2" t="s">
        <v>104</v>
      </c>
    </row>
    <row r="20" spans="1:20">
      <c r="A20" s="5">
        <v>1</v>
      </c>
      <c r="B20" s="75"/>
      <c r="C20" s="75" t="s">
        <v>105</v>
      </c>
      <c r="D20" s="75">
        <v>0</v>
      </c>
      <c r="E20" s="75">
        <v>0</v>
      </c>
      <c r="F20" s="75" t="s">
        <v>106</v>
      </c>
      <c r="G20" s="76" t="s">
        <v>105</v>
      </c>
      <c r="H20" s="76"/>
      <c r="I20" s="76"/>
      <c r="J20" s="76"/>
      <c r="K20" s="76"/>
      <c r="L20" s="76"/>
      <c r="M20" s="76">
        <v>0</v>
      </c>
      <c r="N20" s="6" t="str">
        <f>IF(C20="No","NOT ACTIVE",IF(G20="No","NOT REQUIRED",IF(AND(MIN(H20:M20)&gt;=0,SUM(H20:M20)=D20),"OK","ERROR")))</f>
        <v>NOT ACTIVE</v>
      </c>
      <c r="O20" s="76"/>
      <c r="P20" s="8" t="str">
        <f>IF(OR($E$7="",$H$7=""),"",$H$7-$E$7+1)</f>
        <v/>
      </c>
      <c r="Q20" s="8" t="str">
        <f>IF(OR(C20&lt;&gt;"Yes",D20="",P20=""),"",D20*P20)</f>
        <v/>
      </c>
      <c r="R20" s="80"/>
      <c r="S20" s="8" t="str">
        <f>IF(C20&lt;&gt;"Yes","",IF(R20="",Q20,R20))</f>
        <v/>
      </c>
      <c r="T20" s="75"/>
    </row>
    <row r="21" spans="1:20">
      <c r="A21" s="5">
        <v>2</v>
      </c>
      <c r="B21" s="75"/>
      <c r="C21" s="75" t="s">
        <v>105</v>
      </c>
      <c r="D21" s="75">
        <v>0</v>
      </c>
      <c r="E21" s="75">
        <v>0</v>
      </c>
      <c r="F21" s="75" t="s">
        <v>106</v>
      </c>
      <c r="G21" s="76" t="s">
        <v>105</v>
      </c>
      <c r="H21" s="76"/>
      <c r="I21" s="76"/>
      <c r="J21" s="76"/>
      <c r="K21" s="76"/>
      <c r="L21" s="76"/>
      <c r="M21" s="76">
        <v>0</v>
      </c>
      <c r="N21" s="6" t="str">
        <f>IF(C21="No","NOT ACTIVE",IF(G21="No","NOT REQUIRED",IF(AND(MIN(H21:M21)&gt;=0,SUM(H21:M21)=D21),"OK","ERROR")))</f>
        <v>NOT ACTIVE</v>
      </c>
      <c r="O21" s="76"/>
      <c r="P21" s="8" t="str">
        <f>IF(OR($E$7="",$H$7=""),"",$H$7-$E$7+1)</f>
        <v/>
      </c>
      <c r="Q21" s="8" t="str">
        <f>IF(OR(C21&lt;&gt;"Yes",D21="",P21=""),"",D21*P21)</f>
        <v/>
      </c>
      <c r="R21" s="80"/>
      <c r="S21" s="8" t="str">
        <f>IF(C21&lt;&gt;"Yes","",IF(R21="",Q21,R21))</f>
        <v/>
      </c>
      <c r="T21" s="75"/>
    </row>
    <row r="22" spans="1:20">
      <c r="A22" s="5">
        <v>3</v>
      </c>
      <c r="B22" s="75"/>
      <c r="C22" s="75" t="s">
        <v>105</v>
      </c>
      <c r="D22" s="75">
        <v>0</v>
      </c>
      <c r="E22" s="75">
        <v>0</v>
      </c>
      <c r="F22" s="75" t="s">
        <v>106</v>
      </c>
      <c r="G22" s="76" t="s">
        <v>105</v>
      </c>
      <c r="H22" s="76"/>
      <c r="I22" s="76"/>
      <c r="J22" s="76"/>
      <c r="K22" s="76"/>
      <c r="L22" s="76"/>
      <c r="M22" s="76">
        <v>0</v>
      </c>
      <c r="N22" s="6" t="str">
        <f>IF(C22="No","NOT ACTIVE",IF(G22="No","NOT REQUIRED",IF(AND(MIN(H22:M22)&gt;=0,SUM(H22:M22)=D22),"OK","ERROR")))</f>
        <v>NOT ACTIVE</v>
      </c>
      <c r="O22" s="76"/>
      <c r="P22" s="8" t="str">
        <f>IF(OR($E$7="",$H$7=""),"",$H$7-$E$7+1)</f>
        <v/>
      </c>
      <c r="Q22" s="8" t="str">
        <f>IF(OR(C22&lt;&gt;"Yes",D22="",P22=""),"",D22*P22)</f>
        <v/>
      </c>
      <c r="R22" s="80"/>
      <c r="S22" s="8" t="str">
        <f>IF(C22&lt;&gt;"Yes","",IF(R22="",Q22,R22))</f>
        <v/>
      </c>
      <c r="T22" s="75"/>
    </row>
    <row r="24" spans="1:20" ht="24" customHeight="1">
      <c r="A24" s="118" t="s">
        <v>107</v>
      </c>
      <c r="B24" s="118"/>
      <c r="C24" s="118"/>
      <c r="D24" s="118"/>
      <c r="E24" s="118"/>
      <c r="F24" s="118"/>
      <c r="G24" s="118"/>
      <c r="H24" s="118"/>
      <c r="I24" s="118"/>
      <c r="J24" s="118"/>
      <c r="K24" s="118"/>
      <c r="L24" s="118"/>
      <c r="M24" s="118"/>
      <c r="N24" s="118"/>
      <c r="O24" s="118"/>
      <c r="P24" s="118"/>
      <c r="Q24" s="118"/>
      <c r="R24" s="118"/>
      <c r="S24" s="118"/>
      <c r="T24" s="118"/>
    </row>
    <row r="25" spans="1:20" ht="30" customHeight="1">
      <c r="A25" s="2" t="s">
        <v>108</v>
      </c>
      <c r="B25" s="2" t="s">
        <v>109</v>
      </c>
      <c r="C25" s="2" t="s">
        <v>110</v>
      </c>
      <c r="D25" s="2" t="s">
        <v>111</v>
      </c>
      <c r="E25" s="2" t="s">
        <v>112</v>
      </c>
    </row>
    <row r="26" spans="1:20">
      <c r="A26" s="3" t="s">
        <v>113</v>
      </c>
      <c r="B26" s="3" t="s">
        <v>114</v>
      </c>
      <c r="C26" s="3" t="s">
        <v>115</v>
      </c>
      <c r="D26" s="3" t="s">
        <v>116</v>
      </c>
      <c r="E26" s="81" t="s">
        <v>105</v>
      </c>
    </row>
    <row r="27" spans="1:20">
      <c r="A27" s="3" t="s">
        <v>117</v>
      </c>
      <c r="B27" s="3" t="s">
        <v>114</v>
      </c>
      <c r="C27" s="3" t="s">
        <v>118</v>
      </c>
      <c r="D27" s="3" t="s">
        <v>119</v>
      </c>
      <c r="E27" s="81" t="s">
        <v>105</v>
      </c>
    </row>
    <row r="28" spans="1:20">
      <c r="A28" s="3" t="s">
        <v>120</v>
      </c>
      <c r="B28" s="3" t="s">
        <v>114</v>
      </c>
      <c r="C28" s="3" t="s">
        <v>118</v>
      </c>
      <c r="D28" s="3" t="s">
        <v>121</v>
      </c>
      <c r="E28" s="81" t="s">
        <v>105</v>
      </c>
    </row>
    <row r="29" spans="1:20" ht="32" customHeight="1">
      <c r="A29" s="3" t="s">
        <v>122</v>
      </c>
      <c r="B29" s="3" t="s">
        <v>114</v>
      </c>
      <c r="C29" s="3" t="s">
        <v>123</v>
      </c>
      <c r="D29" s="3" t="s">
        <v>124</v>
      </c>
      <c r="E29" s="81" t="s">
        <v>105</v>
      </c>
    </row>
    <row r="30" spans="1:20" ht="32" customHeight="1">
      <c r="A30" s="3" t="s">
        <v>125</v>
      </c>
      <c r="B30" s="3" t="s">
        <v>114</v>
      </c>
      <c r="C30" s="3" t="s">
        <v>123</v>
      </c>
      <c r="D30" s="3" t="s">
        <v>126</v>
      </c>
      <c r="E30" s="81" t="s">
        <v>105</v>
      </c>
    </row>
    <row r="31" spans="1:20" ht="32" customHeight="1">
      <c r="A31" s="3" t="s">
        <v>127</v>
      </c>
      <c r="B31" s="3" t="s">
        <v>114</v>
      </c>
      <c r="C31" s="3" t="s">
        <v>123</v>
      </c>
      <c r="D31" s="3" t="s">
        <v>128</v>
      </c>
      <c r="E31" s="81" t="s">
        <v>105</v>
      </c>
    </row>
    <row r="32" spans="1:20">
      <c r="A32" s="3" t="s">
        <v>129</v>
      </c>
      <c r="B32" s="3" t="s">
        <v>114</v>
      </c>
      <c r="C32" s="3" t="s">
        <v>130</v>
      </c>
      <c r="D32" s="3" t="s">
        <v>131</v>
      </c>
      <c r="E32" s="81" t="s">
        <v>105</v>
      </c>
    </row>
    <row r="33" spans="1:5">
      <c r="A33" s="3" t="s">
        <v>132</v>
      </c>
      <c r="B33" s="3" t="s">
        <v>114</v>
      </c>
      <c r="C33" s="3" t="s">
        <v>130</v>
      </c>
      <c r="D33" s="3" t="s">
        <v>133</v>
      </c>
      <c r="E33" s="81" t="s">
        <v>105</v>
      </c>
    </row>
    <row r="34" spans="1:5">
      <c r="A34" s="3" t="s">
        <v>134</v>
      </c>
      <c r="B34" s="3" t="s">
        <v>114</v>
      </c>
      <c r="C34" s="3" t="s">
        <v>130</v>
      </c>
      <c r="D34" s="3" t="s">
        <v>135</v>
      </c>
      <c r="E34" s="81" t="s">
        <v>105</v>
      </c>
    </row>
    <row r="35" spans="1:5">
      <c r="A35" s="3" t="s">
        <v>136</v>
      </c>
      <c r="B35" s="3" t="s">
        <v>114</v>
      </c>
      <c r="C35" s="3" t="s">
        <v>137</v>
      </c>
      <c r="D35" s="3" t="s">
        <v>137</v>
      </c>
      <c r="E35" s="81" t="s">
        <v>105</v>
      </c>
    </row>
    <row r="36" spans="1:5">
      <c r="A36" s="3" t="s">
        <v>138</v>
      </c>
      <c r="B36" s="3" t="s">
        <v>114</v>
      </c>
      <c r="C36" s="3" t="s">
        <v>139</v>
      </c>
      <c r="D36" s="3" t="s">
        <v>140</v>
      </c>
      <c r="E36" s="81" t="s">
        <v>105</v>
      </c>
    </row>
    <row r="37" spans="1:5">
      <c r="A37" s="3" t="s">
        <v>141</v>
      </c>
      <c r="B37" s="3" t="s">
        <v>114</v>
      </c>
      <c r="C37" s="3" t="s">
        <v>139</v>
      </c>
      <c r="D37" s="3" t="s">
        <v>142</v>
      </c>
      <c r="E37" s="81" t="s">
        <v>105</v>
      </c>
    </row>
    <row r="38" spans="1:5">
      <c r="A38" s="3" t="s">
        <v>143</v>
      </c>
      <c r="B38" s="3" t="s">
        <v>114</v>
      </c>
      <c r="C38" s="3" t="s">
        <v>139</v>
      </c>
      <c r="D38" s="3" t="s">
        <v>144</v>
      </c>
      <c r="E38" s="81" t="s">
        <v>105</v>
      </c>
    </row>
    <row r="39" spans="1:5">
      <c r="A39" s="3" t="s">
        <v>145</v>
      </c>
      <c r="B39" s="3" t="s">
        <v>146</v>
      </c>
      <c r="C39" s="3" t="s">
        <v>147</v>
      </c>
      <c r="D39" s="3" t="s">
        <v>148</v>
      </c>
      <c r="E39" s="81" t="s">
        <v>105</v>
      </c>
    </row>
    <row r="40" spans="1:5">
      <c r="A40" s="3" t="s">
        <v>149</v>
      </c>
      <c r="B40" s="3" t="s">
        <v>146</v>
      </c>
      <c r="C40" s="3" t="s">
        <v>147</v>
      </c>
      <c r="D40" s="3" t="s">
        <v>150</v>
      </c>
      <c r="E40" s="81" t="s">
        <v>105</v>
      </c>
    </row>
    <row r="41" spans="1:5">
      <c r="A41" s="3" t="s">
        <v>151</v>
      </c>
      <c r="B41" s="3" t="s">
        <v>146</v>
      </c>
      <c r="C41" s="3" t="s">
        <v>147</v>
      </c>
      <c r="D41" s="3" t="s">
        <v>152</v>
      </c>
      <c r="E41" s="81" t="s">
        <v>105</v>
      </c>
    </row>
    <row r="42" spans="1:5">
      <c r="A42" s="3" t="s">
        <v>153</v>
      </c>
      <c r="B42" s="3" t="s">
        <v>146</v>
      </c>
      <c r="C42" s="3" t="s">
        <v>147</v>
      </c>
      <c r="D42" s="3" t="s">
        <v>154</v>
      </c>
      <c r="E42" s="81" t="s">
        <v>105</v>
      </c>
    </row>
    <row r="43" spans="1:5">
      <c r="A43" s="3" t="s">
        <v>155</v>
      </c>
      <c r="B43" s="3" t="s">
        <v>146</v>
      </c>
      <c r="C43" s="3" t="s">
        <v>147</v>
      </c>
      <c r="D43" s="3" t="s">
        <v>121</v>
      </c>
      <c r="E43" s="81" t="s">
        <v>105</v>
      </c>
    </row>
    <row r="44" spans="1:5">
      <c r="A44" s="3" t="s">
        <v>156</v>
      </c>
      <c r="B44" s="3" t="s">
        <v>146</v>
      </c>
      <c r="C44" s="3" t="s">
        <v>147</v>
      </c>
      <c r="D44" s="3" t="s">
        <v>157</v>
      </c>
      <c r="E44" s="81" t="s">
        <v>105</v>
      </c>
    </row>
    <row r="45" spans="1:5">
      <c r="A45" s="3" t="s">
        <v>158</v>
      </c>
      <c r="B45" s="3" t="s">
        <v>146</v>
      </c>
      <c r="C45" s="3" t="s">
        <v>147</v>
      </c>
      <c r="D45" s="3" t="s">
        <v>159</v>
      </c>
      <c r="E45" s="81" t="s">
        <v>105</v>
      </c>
    </row>
    <row r="46" spans="1:5">
      <c r="A46" s="3" t="s">
        <v>160</v>
      </c>
      <c r="B46" s="3" t="s">
        <v>146</v>
      </c>
      <c r="C46" s="3" t="s">
        <v>147</v>
      </c>
      <c r="D46" s="3" t="s">
        <v>161</v>
      </c>
      <c r="E46" s="81" t="s">
        <v>105</v>
      </c>
    </row>
    <row r="47" spans="1:5">
      <c r="A47" s="3" t="s">
        <v>162</v>
      </c>
      <c r="B47" s="3" t="s">
        <v>146</v>
      </c>
      <c r="C47" s="3" t="s">
        <v>147</v>
      </c>
      <c r="D47" s="3" t="s">
        <v>163</v>
      </c>
      <c r="E47" s="81" t="s">
        <v>105</v>
      </c>
    </row>
    <row r="48" spans="1:5">
      <c r="A48" s="3" t="s">
        <v>164</v>
      </c>
      <c r="B48" s="3" t="s">
        <v>165</v>
      </c>
      <c r="C48" s="3" t="s">
        <v>166</v>
      </c>
      <c r="D48" s="3" t="s">
        <v>167</v>
      </c>
      <c r="E48" s="81" t="s">
        <v>105</v>
      </c>
    </row>
    <row r="49" spans="1:20">
      <c r="A49" s="3" t="s">
        <v>168</v>
      </c>
      <c r="B49" s="3" t="s">
        <v>165</v>
      </c>
      <c r="C49" s="3" t="s">
        <v>166</v>
      </c>
      <c r="D49" s="3" t="s">
        <v>169</v>
      </c>
      <c r="E49" s="81" t="s">
        <v>105</v>
      </c>
    </row>
    <row r="50" spans="1:20">
      <c r="A50" t="s">
        <v>170</v>
      </c>
      <c r="B50" t="s">
        <v>165</v>
      </c>
      <c r="C50" t="s">
        <v>166</v>
      </c>
      <c r="D50" t="s">
        <v>166</v>
      </c>
      <c r="E50" s="75" t="s">
        <v>105</v>
      </c>
    </row>
    <row r="53" spans="1:20" ht="45" customHeight="1">
      <c r="A53" s="113" t="s">
        <v>171</v>
      </c>
      <c r="B53" s="113"/>
      <c r="C53" s="113"/>
      <c r="D53" s="113"/>
      <c r="E53" s="113"/>
      <c r="F53" s="113"/>
      <c r="G53" s="113"/>
      <c r="H53" s="113"/>
      <c r="I53" s="113"/>
      <c r="J53" s="113"/>
      <c r="K53" s="113"/>
      <c r="L53" s="113"/>
      <c r="M53" s="113"/>
      <c r="N53" s="113"/>
      <c r="O53" s="113"/>
      <c r="P53" s="113"/>
      <c r="Q53" s="113"/>
      <c r="R53" s="113"/>
      <c r="S53" s="113"/>
      <c r="T53" s="113"/>
    </row>
  </sheetData>
  <sheetProtection sheet="1" objects="1" scenarios="1" formatColumns="0" formatRows="0"/>
  <mergeCells count="7">
    <mergeCell ref="A24:T24"/>
    <mergeCell ref="A53:T53"/>
    <mergeCell ref="A1:T1"/>
    <mergeCell ref="A2:T2"/>
    <mergeCell ref="A4:H4"/>
    <mergeCell ref="A10:H10"/>
    <mergeCell ref="A18:T18"/>
  </mergeCells>
  <dataValidations count="4">
    <dataValidation type="list" sqref="E5" xr:uid="{00000000-0002-0000-0100-000000000000}">
      <formula1>"Adult,Children,Both"</formula1>
    </dataValidation>
    <dataValidation type="list" sqref="E6" xr:uid="{00000000-0002-0000-0100-000001000000}">
      <formula1>"Actual,Budget"</formula1>
    </dataValidation>
    <dataValidation type="list" sqref="C20:C22 G20:G22 E26:E50" xr:uid="{00000000-0002-0000-0100-000002000000}">
      <formula1>"Yes,No"</formula1>
    </dataValidation>
    <dataValidation type="list" sqref="F20:F22" xr:uid="{00000000-0002-0000-0100-000003000000}">
      <formula1>"Standard hours,Extended hours,24/7"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showGridLines="0" workbookViewId="0"/>
  </sheetViews>
  <sheetFormatPr baseColWidth="10" defaultColWidth="8.83203125" defaultRowHeight="14"/>
  <cols>
    <col min="1" max="1" width="42" customWidth="1"/>
    <col min="2" max="2" width="25" customWidth="1"/>
    <col min="3" max="3" width="54" customWidth="1"/>
    <col min="4" max="6" width="4" customWidth="1"/>
  </cols>
  <sheetData>
    <row r="1" spans="1:6" ht="34" customHeight="1">
      <c r="A1" s="111" t="s">
        <v>14</v>
      </c>
      <c r="B1" s="111"/>
      <c r="C1" s="111"/>
      <c r="D1" s="111"/>
      <c r="E1" s="111"/>
      <c r="F1" s="111"/>
    </row>
    <row r="2" spans="1:6" ht="28" customHeight="1">
      <c r="A2" s="112" t="s">
        <v>172</v>
      </c>
      <c r="B2" s="112"/>
      <c r="C2" s="112"/>
      <c r="D2" s="112"/>
      <c r="E2" s="112"/>
      <c r="F2" s="112"/>
    </row>
    <row r="4" spans="1:6" ht="24" customHeight="1">
      <c r="A4" s="118" t="s">
        <v>173</v>
      </c>
      <c r="B4" s="118"/>
      <c r="C4" s="118"/>
      <c r="D4" s="118"/>
      <c r="E4" s="118"/>
      <c r="F4" s="118"/>
    </row>
    <row r="5" spans="1:6" ht="30" customHeight="1">
      <c r="A5" s="2" t="s">
        <v>74</v>
      </c>
      <c r="B5" s="67" t="s">
        <v>70</v>
      </c>
      <c r="C5" s="2" t="s">
        <v>174</v>
      </c>
    </row>
    <row r="6" spans="1:6">
      <c r="A6" s="3" t="s">
        <v>175</v>
      </c>
      <c r="B6" s="82"/>
      <c r="C6" s="3" t="s">
        <v>176</v>
      </c>
    </row>
    <row r="7" spans="1:6">
      <c r="A7" s="3" t="s">
        <v>177</v>
      </c>
      <c r="B7" s="82"/>
      <c r="C7" s="3" t="s">
        <v>178</v>
      </c>
    </row>
    <row r="8" spans="1:6">
      <c r="A8" s="3" t="s">
        <v>179</v>
      </c>
      <c r="B8" s="83"/>
      <c r="C8" s="3" t="s">
        <v>180</v>
      </c>
    </row>
    <row r="9" spans="1:6">
      <c r="A9" s="3" t="s">
        <v>181</v>
      </c>
      <c r="B9" s="83"/>
      <c r="C9" s="3" t="s">
        <v>182</v>
      </c>
    </row>
    <row r="11" spans="1:6" ht="24" customHeight="1">
      <c r="A11" s="118" t="s">
        <v>183</v>
      </c>
      <c r="B11" s="118"/>
      <c r="C11" s="118"/>
      <c r="D11" s="118"/>
      <c r="E11" s="118"/>
      <c r="F11" s="118"/>
    </row>
    <row r="12" spans="1:6" ht="30" customHeight="1">
      <c r="A12" s="2" t="s">
        <v>184</v>
      </c>
      <c r="B12" s="2" t="s">
        <v>70</v>
      </c>
      <c r="C12" s="2" t="s">
        <v>185</v>
      </c>
    </row>
    <row r="13" spans="1:6">
      <c r="A13" s="3" t="s">
        <v>186</v>
      </c>
      <c r="B13" s="10">
        <f>IFERROR(B8/SUM(B8:B9),0)</f>
        <v>0</v>
      </c>
      <c r="C13" s="9" t="s">
        <v>187</v>
      </c>
    </row>
    <row r="14" spans="1:6">
      <c r="A14" s="3" t="s">
        <v>188</v>
      </c>
      <c r="B14" s="11">
        <f>B6*B13</f>
        <v>0</v>
      </c>
      <c r="C14" s="9" t="s">
        <v>189</v>
      </c>
    </row>
    <row r="15" spans="1:6">
      <c r="A15" s="3" t="s">
        <v>190</v>
      </c>
      <c r="B15" s="11">
        <f>B7*B13</f>
        <v>0</v>
      </c>
      <c r="C15" s="9" t="s">
        <v>189</v>
      </c>
    </row>
    <row r="16" spans="1:6">
      <c r="A16" s="3" t="s">
        <v>191</v>
      </c>
      <c r="B16" s="11">
        <f>SUM(B14:B15)</f>
        <v>0</v>
      </c>
      <c r="C16" s="9"/>
    </row>
    <row r="17" spans="1:6">
      <c r="A17" s="3" t="s">
        <v>192</v>
      </c>
      <c r="B17" s="11">
        <f>B6-B14</f>
        <v>0</v>
      </c>
      <c r="C17" s="9" t="s">
        <v>193</v>
      </c>
    </row>
    <row r="18" spans="1:6">
      <c r="A18" s="3" t="s">
        <v>194</v>
      </c>
      <c r="B18" s="11">
        <f>B7-B15</f>
        <v>0</v>
      </c>
      <c r="C18" s="9" t="s">
        <v>193</v>
      </c>
    </row>
    <row r="19" spans="1:6">
      <c r="A19" s="3" t="s">
        <v>195</v>
      </c>
      <c r="B19" s="9" t="str">
        <f>IF(SUM(B6:B7)=0,"NOT USED",IF(SUM(B8:B9)&lt;=0,"ERROR - ENTER TOTAL MEALS",IF(MIN(B6:B9)&lt;0,"ERROR - NEGATIVE INPUT","OK")))</f>
        <v>NOT USED</v>
      </c>
      <c r="C19" s="9" t="str">
        <f>IF(B19="OK","Paid and unpaid meals are assumed to have the same average cost",IF(B19="NOT USED","No catering costs entered","Complete or correct the yellow cells"))</f>
        <v>No catering costs entered</v>
      </c>
    </row>
    <row r="21" spans="1:6" ht="24" customHeight="1">
      <c r="A21" s="118" t="s">
        <v>196</v>
      </c>
      <c r="B21" s="118"/>
      <c r="C21" s="118"/>
      <c r="D21" s="118"/>
      <c r="E21" s="118"/>
      <c r="F21" s="118"/>
    </row>
    <row r="22" spans="1:6" ht="30" customHeight="1">
      <c r="A22" s="2" t="s">
        <v>197</v>
      </c>
      <c r="B22" s="2" t="s">
        <v>198</v>
      </c>
      <c r="C22" s="2" t="s">
        <v>199</v>
      </c>
    </row>
    <row r="23" spans="1:6">
      <c r="A23" s="3" t="s">
        <v>200</v>
      </c>
      <c r="B23" s="3" t="s">
        <v>9</v>
      </c>
      <c r="C23" s="3" t="s">
        <v>201</v>
      </c>
    </row>
    <row r="24" spans="1:6">
      <c r="A24" s="3" t="s">
        <v>202</v>
      </c>
      <c r="B24" s="3" t="s">
        <v>24</v>
      </c>
      <c r="C24" s="3" t="s">
        <v>203</v>
      </c>
    </row>
  </sheetData>
  <sheetProtection sheet="1" objects="1" scenarios="1" formatColumns="0" formatRows="0"/>
  <mergeCells count="5">
    <mergeCell ref="A1:F1"/>
    <mergeCell ref="A2:F2"/>
    <mergeCell ref="A4:F4"/>
    <mergeCell ref="A11:F11"/>
    <mergeCell ref="A21:F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3"/>
  <sheetViews>
    <sheetView showGridLines="0" workbookViewId="0"/>
  </sheetViews>
  <sheetFormatPr baseColWidth="10" defaultColWidth="8.83203125" defaultRowHeight="14"/>
  <cols>
    <col min="1" max="1" width="19" customWidth="1"/>
    <col min="2" max="2" width="43" customWidth="1"/>
    <col min="3" max="3" width="11" customWidth="1"/>
    <col min="4" max="7" width="19" customWidth="1"/>
    <col min="8" max="10" width="30" customWidth="1"/>
    <col min="11" max="11" width="27" customWidth="1"/>
    <col min="12" max="12" width="24" hidden="1" customWidth="1"/>
    <col min="13" max="13" width="29" hidden="1" customWidth="1"/>
    <col min="14" max="14" width="3" hidden="1" customWidth="1"/>
    <col min="15" max="15" width="36" hidden="1" customWidth="1"/>
    <col min="16" max="16" width="18" hidden="1" customWidth="1"/>
    <col min="17" max="17" width="14" hidden="1" customWidth="1"/>
  </cols>
  <sheetData>
    <row r="1" spans="1:17" ht="30" customHeight="1">
      <c r="A1" s="120" t="s">
        <v>19</v>
      </c>
      <c r="B1" s="120"/>
      <c r="C1" s="120"/>
      <c r="D1" s="120"/>
      <c r="E1" s="120"/>
      <c r="F1" s="120"/>
      <c r="G1" s="120"/>
      <c r="H1" s="120"/>
      <c r="I1" s="120"/>
      <c r="J1" s="120"/>
      <c r="K1" s="120"/>
      <c r="L1" s="31"/>
      <c r="M1" s="31"/>
      <c r="N1" s="31"/>
      <c r="O1" s="31"/>
      <c r="P1" s="31"/>
      <c r="Q1" s="31"/>
    </row>
    <row r="2" spans="1:17" ht="40" customHeight="1">
      <c r="A2" s="121" t="s">
        <v>204</v>
      </c>
      <c r="B2" s="121"/>
      <c r="C2" s="121"/>
      <c r="D2" s="121"/>
      <c r="E2" s="121"/>
      <c r="F2" s="121"/>
      <c r="G2" s="121"/>
      <c r="H2" s="121"/>
      <c r="I2" s="121"/>
      <c r="J2" s="121"/>
      <c r="K2" s="121"/>
      <c r="L2" s="31"/>
      <c r="M2" s="31"/>
      <c r="N2" s="31"/>
      <c r="O2" s="31"/>
      <c r="P2" s="31"/>
      <c r="Q2" s="31"/>
    </row>
    <row r="3" spans="1:17" ht="15">
      <c r="A3" s="31"/>
      <c r="B3" s="31"/>
      <c r="C3" s="31"/>
      <c r="D3" s="31"/>
      <c r="E3" s="31"/>
      <c r="F3" s="31"/>
      <c r="G3" s="31"/>
      <c r="H3" s="31"/>
      <c r="I3" s="31"/>
      <c r="J3" s="31"/>
      <c r="K3" s="31"/>
      <c r="L3" s="31"/>
      <c r="M3" s="31"/>
      <c r="N3" s="31"/>
      <c r="O3" s="31"/>
      <c r="P3" s="31"/>
      <c r="Q3" s="31"/>
    </row>
    <row r="4" spans="1:17" ht="46" customHeight="1">
      <c r="A4" s="32" t="s">
        <v>108</v>
      </c>
      <c r="B4" s="32" t="s">
        <v>205</v>
      </c>
      <c r="C4" s="32" t="s">
        <v>88</v>
      </c>
      <c r="D4" s="32" t="s">
        <v>206</v>
      </c>
      <c r="E4" s="32" t="s">
        <v>207</v>
      </c>
      <c r="F4" s="32" t="s">
        <v>208</v>
      </c>
      <c r="G4" s="32" t="s">
        <v>209</v>
      </c>
      <c r="H4" s="32" t="s">
        <v>210</v>
      </c>
      <c r="I4" s="32" t="s">
        <v>211</v>
      </c>
      <c r="J4" s="32" t="s">
        <v>212</v>
      </c>
      <c r="K4" s="32" t="s">
        <v>71</v>
      </c>
      <c r="L4" s="31"/>
      <c r="M4" s="31"/>
      <c r="N4" s="31"/>
      <c r="O4" s="31"/>
      <c r="P4" s="31"/>
      <c r="Q4" s="31"/>
    </row>
    <row r="5" spans="1:17" ht="48" customHeight="1">
      <c r="A5" s="33" t="s">
        <v>213</v>
      </c>
      <c r="B5" s="33" t="str">
        <f>"Adult inpatient — "&amp;'02 Hospice Setup'!$B$20</f>
        <v xml:space="preserve">Adult inpatient — </v>
      </c>
      <c r="C5" s="34" t="str">
        <f>IF(AND(COUNTIFS('02 Hospice Setup'!$A$26:$A$50,"ADU_IP",'02 Hospice Setup'!$E$26:$E$50,"Yes")&gt;0,'02 Hospice Setup'!$C$20="Yes"),"Yes","No")</f>
        <v>No</v>
      </c>
      <c r="D5" s="84"/>
      <c r="E5" s="84"/>
      <c r="F5" s="84"/>
      <c r="G5" s="35">
        <f t="shared" ref="G5:G31" si="0">SUM(D5:F5)</f>
        <v>0</v>
      </c>
      <c r="H5" s="85"/>
      <c r="I5" s="86"/>
      <c r="J5" s="86"/>
      <c r="K5" s="34" t="str">
        <f t="shared" ref="K5:K31" si="1">IF(AND(C5&lt;&gt;"Yes",COUNT(D5:F5)&gt;0),"ERROR - INACTIVE",IF(AND(COUNTIF(D5:F5,"&lt;0")&gt;0,H5=""),"ERROR - EXPLAIN NEGATIVE",IF(AND(C5="Yes",COUNT(D5:F5)&lt;3),"REVIEW - COMPLETE COSTS","OK")))</f>
        <v>OK</v>
      </c>
      <c r="L5" s="31">
        <f t="shared" ref="L5:L31" si="2">IF(C5="Yes",G5,0)</f>
        <v>0</v>
      </c>
      <c r="M5" s="31">
        <f t="shared" ref="M5:M31" si="3">IF(C5="Yes",D5,0)</f>
        <v>0</v>
      </c>
      <c r="N5" s="31">
        <f t="shared" ref="N5:N31" si="4">IF(C5="Yes",E5,0)</f>
        <v>0</v>
      </c>
      <c r="O5" s="31">
        <f t="shared" ref="O5:O31" si="5">IF(C5="Yes",F5,0)</f>
        <v>0</v>
      </c>
      <c r="P5" s="31"/>
      <c r="Q5" s="31"/>
    </row>
    <row r="6" spans="1:17" ht="48" customHeight="1">
      <c r="A6" s="33" t="s">
        <v>214</v>
      </c>
      <c r="B6" s="33" t="str">
        <f>"Adult inpatient — "&amp;'02 Hospice Setup'!$B$21</f>
        <v xml:space="preserve">Adult inpatient — </v>
      </c>
      <c r="C6" s="34" t="str">
        <f>IF(AND(COUNTIFS('02 Hospice Setup'!$A$26:$A$50,"ADU_IP",'02 Hospice Setup'!$E$26:$E$50,"Yes")&gt;0,'02 Hospice Setup'!$C$21="Yes"),"Yes","No")</f>
        <v>No</v>
      </c>
      <c r="D6" s="84"/>
      <c r="E6" s="84"/>
      <c r="F6" s="84"/>
      <c r="G6" s="35">
        <f t="shared" si="0"/>
        <v>0</v>
      </c>
      <c r="H6" s="85"/>
      <c r="I6" s="86"/>
      <c r="J6" s="86"/>
      <c r="K6" s="34" t="str">
        <f t="shared" si="1"/>
        <v>OK</v>
      </c>
      <c r="L6" s="31">
        <f t="shared" si="2"/>
        <v>0</v>
      </c>
      <c r="M6" s="31">
        <f t="shared" si="3"/>
        <v>0</v>
      </c>
      <c r="N6" s="31">
        <f t="shared" si="4"/>
        <v>0</v>
      </c>
      <c r="O6" s="31">
        <f t="shared" si="5"/>
        <v>0</v>
      </c>
      <c r="P6" s="31"/>
      <c r="Q6" s="31"/>
    </row>
    <row r="7" spans="1:17" ht="48" customHeight="1">
      <c r="A7" s="33" t="s">
        <v>215</v>
      </c>
      <c r="B7" s="33" t="str">
        <f>"Adult inpatient — "&amp;'02 Hospice Setup'!$B$22</f>
        <v xml:space="preserve">Adult inpatient — </v>
      </c>
      <c r="C7" s="34" t="str">
        <f>IF(AND(COUNTIFS('02 Hospice Setup'!$A$26:$A$50,"ADU_IP",'02 Hospice Setup'!$E$26:$E$50,"Yes")&gt;0,'02 Hospice Setup'!$C$22="Yes"),"Yes","No")</f>
        <v>No</v>
      </c>
      <c r="D7" s="84"/>
      <c r="E7" s="84"/>
      <c r="F7" s="84"/>
      <c r="G7" s="35">
        <f t="shared" si="0"/>
        <v>0</v>
      </c>
      <c r="H7" s="85"/>
      <c r="I7" s="86"/>
      <c r="J7" s="86"/>
      <c r="K7" s="34" t="str">
        <f t="shared" si="1"/>
        <v>OK</v>
      </c>
      <c r="L7" s="31">
        <f t="shared" si="2"/>
        <v>0</v>
      </c>
      <c r="M7" s="31">
        <f t="shared" si="3"/>
        <v>0</v>
      </c>
      <c r="N7" s="31">
        <f t="shared" si="4"/>
        <v>0</v>
      </c>
      <c r="O7" s="31">
        <f t="shared" si="5"/>
        <v>0</v>
      </c>
      <c r="P7" s="31"/>
      <c r="Q7" s="31"/>
    </row>
    <row r="8" spans="1:17" ht="48" customHeight="1">
      <c r="A8" s="33" t="s">
        <v>117</v>
      </c>
      <c r="B8" s="33" t="s">
        <v>119</v>
      </c>
      <c r="C8" s="34" t="str">
        <f>IF(COUNTIFS('02 Hospice Setup'!$A$26:$A$50,A8,'02 Hospice Setup'!$E$26:$E$50,"Yes")&gt;0,"Yes","No")</f>
        <v>No</v>
      </c>
      <c r="D8" s="84"/>
      <c r="E8" s="84"/>
      <c r="F8" s="84"/>
      <c r="G8" s="35">
        <f t="shared" si="0"/>
        <v>0</v>
      </c>
      <c r="H8" s="85"/>
      <c r="I8" s="86"/>
      <c r="J8" s="86"/>
      <c r="K8" s="34" t="str">
        <f t="shared" si="1"/>
        <v>OK</v>
      </c>
      <c r="L8" s="31">
        <f t="shared" si="2"/>
        <v>0</v>
      </c>
      <c r="M8" s="31">
        <f t="shared" si="3"/>
        <v>0</v>
      </c>
      <c r="N8" s="31">
        <f t="shared" si="4"/>
        <v>0</v>
      </c>
      <c r="O8" s="31">
        <f t="shared" si="5"/>
        <v>0</v>
      </c>
      <c r="P8" s="31">
        <f>COUNTIF(K5:K31,"ERROR - EXPLAIN NEGATIVE")</f>
        <v>0</v>
      </c>
      <c r="Q8" s="31"/>
    </row>
    <row r="9" spans="1:17" ht="48" customHeight="1">
      <c r="A9" s="33" t="s">
        <v>120</v>
      </c>
      <c r="B9" s="33" t="s">
        <v>121</v>
      </c>
      <c r="C9" s="34" t="str">
        <f>IF(COUNTIFS('02 Hospice Setup'!$A$26:$A$50,A9,'02 Hospice Setup'!$E$26:$E$50,"Yes")&gt;0,"Yes","No")</f>
        <v>No</v>
      </c>
      <c r="D9" s="84"/>
      <c r="E9" s="84"/>
      <c r="F9" s="84"/>
      <c r="G9" s="35">
        <f t="shared" si="0"/>
        <v>0</v>
      </c>
      <c r="H9" s="85"/>
      <c r="I9" s="86"/>
      <c r="J9" s="86"/>
      <c r="K9" s="34" t="str">
        <f t="shared" si="1"/>
        <v>OK</v>
      </c>
      <c r="L9" s="31">
        <f t="shared" si="2"/>
        <v>0</v>
      </c>
      <c r="M9" s="31">
        <f t="shared" si="3"/>
        <v>0</v>
      </c>
      <c r="N9" s="31">
        <f t="shared" si="4"/>
        <v>0</v>
      </c>
      <c r="O9" s="31">
        <f t="shared" si="5"/>
        <v>0</v>
      </c>
      <c r="P9" s="31">
        <f>COUNTIF(K5:K31,"ERROR - INACTIVE")</f>
        <v>0</v>
      </c>
      <c r="Q9" s="31"/>
    </row>
    <row r="10" spans="1:17" ht="48" customHeight="1">
      <c r="A10" s="33" t="s">
        <v>122</v>
      </c>
      <c r="B10" s="33" t="s">
        <v>124</v>
      </c>
      <c r="C10" s="34" t="str">
        <f>IF(COUNTIFS('02 Hospice Setup'!$A$26:$A$50,A10,'02 Hospice Setup'!$E$26:$E$50,"Yes")&gt;0,"Yes","No")</f>
        <v>No</v>
      </c>
      <c r="D10" s="84"/>
      <c r="E10" s="84"/>
      <c r="F10" s="84"/>
      <c r="G10" s="35">
        <f t="shared" si="0"/>
        <v>0</v>
      </c>
      <c r="H10" s="85"/>
      <c r="I10" s="86"/>
      <c r="J10" s="86"/>
      <c r="K10" s="34" t="str">
        <f t="shared" si="1"/>
        <v>OK</v>
      </c>
      <c r="L10" s="31">
        <f t="shared" si="2"/>
        <v>0</v>
      </c>
      <c r="M10" s="31">
        <f t="shared" si="3"/>
        <v>0</v>
      </c>
      <c r="N10" s="31">
        <f t="shared" si="4"/>
        <v>0</v>
      </c>
      <c r="O10" s="31">
        <f t="shared" si="5"/>
        <v>0</v>
      </c>
      <c r="P10" s="31"/>
      <c r="Q10" s="31"/>
    </row>
    <row r="11" spans="1:17" ht="48" customHeight="1">
      <c r="A11" s="33" t="s">
        <v>125</v>
      </c>
      <c r="B11" s="33" t="s">
        <v>126</v>
      </c>
      <c r="C11" s="34" t="str">
        <f>IF(COUNTIFS('02 Hospice Setup'!$A$26:$A$50,A11,'02 Hospice Setup'!$E$26:$E$50,"Yes")&gt;0,"Yes","No")</f>
        <v>No</v>
      </c>
      <c r="D11" s="84"/>
      <c r="E11" s="84"/>
      <c r="F11" s="84"/>
      <c r="G11" s="35">
        <f t="shared" si="0"/>
        <v>0</v>
      </c>
      <c r="H11" s="85"/>
      <c r="I11" s="86"/>
      <c r="J11" s="86"/>
      <c r="K11" s="34" t="str">
        <f t="shared" si="1"/>
        <v>OK</v>
      </c>
      <c r="L11" s="31">
        <f t="shared" si="2"/>
        <v>0</v>
      </c>
      <c r="M11" s="31">
        <f t="shared" si="3"/>
        <v>0</v>
      </c>
      <c r="N11" s="31">
        <f t="shared" si="4"/>
        <v>0</v>
      </c>
      <c r="O11" s="31">
        <f t="shared" si="5"/>
        <v>0</v>
      </c>
      <c r="P11" s="31"/>
      <c r="Q11" s="31"/>
    </row>
    <row r="12" spans="1:17" ht="48" customHeight="1">
      <c r="A12" s="33" t="s">
        <v>127</v>
      </c>
      <c r="B12" s="33" t="s">
        <v>128</v>
      </c>
      <c r="C12" s="34" t="str">
        <f>IF(COUNTIFS('02 Hospice Setup'!$A$26:$A$50,A12,'02 Hospice Setup'!$E$26:$E$50,"Yes")&gt;0,"Yes","No")</f>
        <v>No</v>
      </c>
      <c r="D12" s="84"/>
      <c r="E12" s="84"/>
      <c r="F12" s="84"/>
      <c r="G12" s="35">
        <f t="shared" si="0"/>
        <v>0</v>
      </c>
      <c r="H12" s="85"/>
      <c r="I12" s="86"/>
      <c r="J12" s="86"/>
      <c r="K12" s="34" t="str">
        <f t="shared" si="1"/>
        <v>OK</v>
      </c>
      <c r="L12" s="31">
        <f t="shared" si="2"/>
        <v>0</v>
      </c>
      <c r="M12" s="31">
        <f t="shared" si="3"/>
        <v>0</v>
      </c>
      <c r="N12" s="31">
        <f t="shared" si="4"/>
        <v>0</v>
      </c>
      <c r="O12" s="31">
        <f t="shared" si="5"/>
        <v>0</v>
      </c>
      <c r="P12" s="31"/>
      <c r="Q12" s="31"/>
    </row>
    <row r="13" spans="1:17" ht="48" customHeight="1">
      <c r="A13" s="33" t="s">
        <v>129</v>
      </c>
      <c r="B13" s="33" t="s">
        <v>131</v>
      </c>
      <c r="C13" s="34" t="str">
        <f>IF(COUNTIFS('02 Hospice Setup'!$A$26:$A$50,A13,'02 Hospice Setup'!$E$26:$E$50,"Yes")&gt;0,"Yes","No")</f>
        <v>No</v>
      </c>
      <c r="D13" s="84"/>
      <c r="E13" s="84"/>
      <c r="F13" s="84"/>
      <c r="G13" s="35">
        <f t="shared" si="0"/>
        <v>0</v>
      </c>
      <c r="H13" s="85"/>
      <c r="I13" s="86"/>
      <c r="J13" s="86"/>
      <c r="K13" s="34" t="str">
        <f t="shared" si="1"/>
        <v>OK</v>
      </c>
      <c r="L13" s="31">
        <f t="shared" si="2"/>
        <v>0</v>
      </c>
      <c r="M13" s="31">
        <f t="shared" si="3"/>
        <v>0</v>
      </c>
      <c r="N13" s="31">
        <f t="shared" si="4"/>
        <v>0</v>
      </c>
      <c r="O13" s="31">
        <f t="shared" si="5"/>
        <v>0</v>
      </c>
      <c r="P13" s="31"/>
      <c r="Q13" s="31"/>
    </row>
    <row r="14" spans="1:17" ht="48" customHeight="1">
      <c r="A14" s="33" t="s">
        <v>132</v>
      </c>
      <c r="B14" s="33" t="s">
        <v>133</v>
      </c>
      <c r="C14" s="34" t="str">
        <f>IF(COUNTIFS('02 Hospice Setup'!$A$26:$A$50,A14,'02 Hospice Setup'!$E$26:$E$50,"Yes")&gt;0,"Yes","No")</f>
        <v>No</v>
      </c>
      <c r="D14" s="84"/>
      <c r="E14" s="84"/>
      <c r="F14" s="84"/>
      <c r="G14" s="35">
        <f t="shared" si="0"/>
        <v>0</v>
      </c>
      <c r="H14" s="85"/>
      <c r="I14" s="86"/>
      <c r="J14" s="86"/>
      <c r="K14" s="34" t="str">
        <f t="shared" si="1"/>
        <v>OK</v>
      </c>
      <c r="L14" s="31">
        <f t="shared" si="2"/>
        <v>0</v>
      </c>
      <c r="M14" s="31">
        <f t="shared" si="3"/>
        <v>0</v>
      </c>
      <c r="N14" s="31">
        <f t="shared" si="4"/>
        <v>0</v>
      </c>
      <c r="O14" s="31">
        <f t="shared" si="5"/>
        <v>0</v>
      </c>
      <c r="P14" s="31"/>
      <c r="Q14" s="31"/>
    </row>
    <row r="15" spans="1:17" ht="48" customHeight="1">
      <c r="A15" s="33" t="s">
        <v>134</v>
      </c>
      <c r="B15" s="33" t="s">
        <v>135</v>
      </c>
      <c r="C15" s="34" t="str">
        <f>IF(COUNTIFS('02 Hospice Setup'!$A$26:$A$50,A15,'02 Hospice Setup'!$E$26:$E$50,"Yes")&gt;0,"Yes","No")</f>
        <v>No</v>
      </c>
      <c r="D15" s="84"/>
      <c r="E15" s="84"/>
      <c r="F15" s="84"/>
      <c r="G15" s="35">
        <f t="shared" si="0"/>
        <v>0</v>
      </c>
      <c r="H15" s="85"/>
      <c r="I15" s="86"/>
      <c r="J15" s="86"/>
      <c r="K15" s="34" t="str">
        <f t="shared" si="1"/>
        <v>OK</v>
      </c>
      <c r="L15" s="31">
        <f t="shared" si="2"/>
        <v>0</v>
      </c>
      <c r="M15" s="31">
        <f t="shared" si="3"/>
        <v>0</v>
      </c>
      <c r="N15" s="31">
        <f t="shared" si="4"/>
        <v>0</v>
      </c>
      <c r="O15" s="31">
        <f t="shared" si="5"/>
        <v>0</v>
      </c>
      <c r="P15" s="31"/>
      <c r="Q15" s="31"/>
    </row>
    <row r="16" spans="1:17" ht="48" customHeight="1">
      <c r="A16" s="33" t="s">
        <v>136</v>
      </c>
      <c r="B16" s="33" t="s">
        <v>137</v>
      </c>
      <c r="C16" s="34" t="str">
        <f>IF(COUNTIFS('02 Hospice Setup'!$A$26:$A$50,A16,'02 Hospice Setup'!$E$26:$E$50,"Yes")&gt;0,"Yes","No")</f>
        <v>No</v>
      </c>
      <c r="D16" s="84"/>
      <c r="E16" s="84"/>
      <c r="F16" s="84"/>
      <c r="G16" s="35">
        <f t="shared" si="0"/>
        <v>0</v>
      </c>
      <c r="H16" s="85"/>
      <c r="I16" s="86"/>
      <c r="J16" s="86"/>
      <c r="K16" s="34" t="str">
        <f t="shared" si="1"/>
        <v>OK</v>
      </c>
      <c r="L16" s="31">
        <f t="shared" si="2"/>
        <v>0</v>
      </c>
      <c r="M16" s="31">
        <f t="shared" si="3"/>
        <v>0</v>
      </c>
      <c r="N16" s="31">
        <f t="shared" si="4"/>
        <v>0</v>
      </c>
      <c r="O16" s="31">
        <f t="shared" si="5"/>
        <v>0</v>
      </c>
      <c r="P16" s="31"/>
      <c r="Q16" s="31"/>
    </row>
    <row r="17" spans="1:17" ht="48" customHeight="1">
      <c r="A17" s="33" t="s">
        <v>138</v>
      </c>
      <c r="B17" s="33" t="s">
        <v>140</v>
      </c>
      <c r="C17" s="34" t="str">
        <f>IF(COUNTIFS('02 Hospice Setup'!$A$26:$A$50,A17,'02 Hospice Setup'!$E$26:$E$50,"Yes")&gt;0,"Yes","No")</f>
        <v>No</v>
      </c>
      <c r="D17" s="84"/>
      <c r="E17" s="84"/>
      <c r="F17" s="84"/>
      <c r="G17" s="35">
        <f t="shared" si="0"/>
        <v>0</v>
      </c>
      <c r="H17" s="85"/>
      <c r="I17" s="86"/>
      <c r="J17" s="86"/>
      <c r="K17" s="34" t="str">
        <f t="shared" si="1"/>
        <v>OK</v>
      </c>
      <c r="L17" s="31">
        <f t="shared" si="2"/>
        <v>0</v>
      </c>
      <c r="M17" s="31">
        <f t="shared" si="3"/>
        <v>0</v>
      </c>
      <c r="N17" s="31">
        <f t="shared" si="4"/>
        <v>0</v>
      </c>
      <c r="O17" s="31">
        <f t="shared" si="5"/>
        <v>0</v>
      </c>
      <c r="P17" s="31"/>
      <c r="Q17" s="31"/>
    </row>
    <row r="18" spans="1:17" ht="48" customHeight="1">
      <c r="A18" s="33" t="s">
        <v>141</v>
      </c>
      <c r="B18" s="33" t="s">
        <v>142</v>
      </c>
      <c r="C18" s="34" t="str">
        <f>IF(COUNTIFS('02 Hospice Setup'!$A$26:$A$50,A18,'02 Hospice Setup'!$E$26:$E$50,"Yes")&gt;0,"Yes","No")</f>
        <v>No</v>
      </c>
      <c r="D18" s="84"/>
      <c r="E18" s="84"/>
      <c r="F18" s="84"/>
      <c r="G18" s="35">
        <f t="shared" si="0"/>
        <v>0</v>
      </c>
      <c r="H18" s="85"/>
      <c r="I18" s="86"/>
      <c r="J18" s="86"/>
      <c r="K18" s="34" t="str">
        <f t="shared" si="1"/>
        <v>OK</v>
      </c>
      <c r="L18" s="31">
        <f t="shared" si="2"/>
        <v>0</v>
      </c>
      <c r="M18" s="31">
        <f t="shared" si="3"/>
        <v>0</v>
      </c>
      <c r="N18" s="31">
        <f t="shared" si="4"/>
        <v>0</v>
      </c>
      <c r="O18" s="31">
        <f t="shared" si="5"/>
        <v>0</v>
      </c>
      <c r="P18" s="31"/>
      <c r="Q18" s="31"/>
    </row>
    <row r="19" spans="1:17" ht="48" customHeight="1">
      <c r="A19" s="33" t="s">
        <v>143</v>
      </c>
      <c r="B19" s="33" t="s">
        <v>144</v>
      </c>
      <c r="C19" s="34" t="str">
        <f>IF(COUNTIFS('02 Hospice Setup'!$A$26:$A$50,A19,'02 Hospice Setup'!$E$26:$E$50,"Yes")&gt;0,"Yes","No")</f>
        <v>No</v>
      </c>
      <c r="D19" s="84"/>
      <c r="E19" s="84"/>
      <c r="F19" s="84"/>
      <c r="G19" s="35">
        <f t="shared" si="0"/>
        <v>0</v>
      </c>
      <c r="H19" s="85"/>
      <c r="I19" s="86"/>
      <c r="J19" s="86"/>
      <c r="K19" s="34" t="str">
        <f t="shared" si="1"/>
        <v>OK</v>
      </c>
      <c r="L19" s="31">
        <f t="shared" si="2"/>
        <v>0</v>
      </c>
      <c r="M19" s="31">
        <f t="shared" si="3"/>
        <v>0</v>
      </c>
      <c r="N19" s="31">
        <f t="shared" si="4"/>
        <v>0</v>
      </c>
      <c r="O19" s="31">
        <f t="shared" si="5"/>
        <v>0</v>
      </c>
      <c r="P19" s="31"/>
      <c r="Q19" s="31"/>
    </row>
    <row r="20" spans="1:17" ht="48" customHeight="1">
      <c r="A20" s="33" t="s">
        <v>145</v>
      </c>
      <c r="B20" s="33" t="s">
        <v>148</v>
      </c>
      <c r="C20" s="34" t="str">
        <f>IF(COUNTIFS('02 Hospice Setup'!$A$26:$A$50,A20,'02 Hospice Setup'!$E$26:$E$50,"Yes")&gt;0,"Yes","No")</f>
        <v>No</v>
      </c>
      <c r="D20" s="84"/>
      <c r="E20" s="84"/>
      <c r="F20" s="84"/>
      <c r="G20" s="35">
        <f t="shared" si="0"/>
        <v>0</v>
      </c>
      <c r="H20" s="85"/>
      <c r="I20" s="86"/>
      <c r="J20" s="86"/>
      <c r="K20" s="34" t="str">
        <f t="shared" si="1"/>
        <v>OK</v>
      </c>
      <c r="L20" s="31">
        <f t="shared" si="2"/>
        <v>0</v>
      </c>
      <c r="M20" s="31">
        <f t="shared" si="3"/>
        <v>0</v>
      </c>
      <c r="N20" s="31">
        <f t="shared" si="4"/>
        <v>0</v>
      </c>
      <c r="O20" s="31">
        <f t="shared" si="5"/>
        <v>0</v>
      </c>
      <c r="P20" s="31"/>
      <c r="Q20" s="31"/>
    </row>
    <row r="21" spans="1:17" ht="48" customHeight="1">
      <c r="A21" s="33" t="s">
        <v>149</v>
      </c>
      <c r="B21" s="33" t="s">
        <v>150</v>
      </c>
      <c r="C21" s="34" t="str">
        <f>IF(COUNTIFS('02 Hospice Setup'!$A$26:$A$50,A21,'02 Hospice Setup'!$E$26:$E$50,"Yes")&gt;0,"Yes","No")</f>
        <v>No</v>
      </c>
      <c r="D21" s="84"/>
      <c r="E21" s="84"/>
      <c r="F21" s="84"/>
      <c r="G21" s="35">
        <f t="shared" si="0"/>
        <v>0</v>
      </c>
      <c r="H21" s="85"/>
      <c r="I21" s="86"/>
      <c r="J21" s="86"/>
      <c r="K21" s="34" t="str">
        <f t="shared" si="1"/>
        <v>OK</v>
      </c>
      <c r="L21" s="31">
        <f t="shared" si="2"/>
        <v>0</v>
      </c>
      <c r="M21" s="31">
        <f t="shared" si="3"/>
        <v>0</v>
      </c>
      <c r="N21" s="31">
        <f t="shared" si="4"/>
        <v>0</v>
      </c>
      <c r="O21" s="31">
        <f t="shared" si="5"/>
        <v>0</v>
      </c>
      <c r="P21" s="31"/>
      <c r="Q21" s="31"/>
    </row>
    <row r="22" spans="1:17" ht="48" customHeight="1">
      <c r="A22" s="33" t="s">
        <v>151</v>
      </c>
      <c r="B22" s="33" t="s">
        <v>152</v>
      </c>
      <c r="C22" s="34" t="str">
        <f>IF(COUNTIFS('02 Hospice Setup'!$A$26:$A$50,A22,'02 Hospice Setup'!$E$26:$E$50,"Yes")&gt;0,"Yes","No")</f>
        <v>No</v>
      </c>
      <c r="D22" s="84"/>
      <c r="E22" s="84"/>
      <c r="F22" s="84"/>
      <c r="G22" s="35">
        <f t="shared" si="0"/>
        <v>0</v>
      </c>
      <c r="H22" s="85"/>
      <c r="I22" s="86"/>
      <c r="J22" s="86"/>
      <c r="K22" s="34" t="str">
        <f t="shared" si="1"/>
        <v>OK</v>
      </c>
      <c r="L22" s="31">
        <f t="shared" si="2"/>
        <v>0</v>
      </c>
      <c r="M22" s="31">
        <f t="shared" si="3"/>
        <v>0</v>
      </c>
      <c r="N22" s="31">
        <f t="shared" si="4"/>
        <v>0</v>
      </c>
      <c r="O22" s="31">
        <f t="shared" si="5"/>
        <v>0</v>
      </c>
      <c r="P22" s="31"/>
      <c r="Q22" s="31"/>
    </row>
    <row r="23" spans="1:17" ht="48" customHeight="1">
      <c r="A23" s="33" t="s">
        <v>153</v>
      </c>
      <c r="B23" s="33" t="s">
        <v>154</v>
      </c>
      <c r="C23" s="34" t="str">
        <f>IF(COUNTIFS('02 Hospice Setup'!$A$26:$A$50,A23,'02 Hospice Setup'!$E$26:$E$50,"Yes")&gt;0,"Yes","No")</f>
        <v>No</v>
      </c>
      <c r="D23" s="84"/>
      <c r="E23" s="84"/>
      <c r="F23" s="84"/>
      <c r="G23" s="35">
        <f t="shared" si="0"/>
        <v>0</v>
      </c>
      <c r="H23" s="85"/>
      <c r="I23" s="86"/>
      <c r="J23" s="86"/>
      <c r="K23" s="34" t="str">
        <f t="shared" si="1"/>
        <v>OK</v>
      </c>
      <c r="L23" s="31">
        <f t="shared" si="2"/>
        <v>0</v>
      </c>
      <c r="M23" s="31">
        <f t="shared" si="3"/>
        <v>0</v>
      </c>
      <c r="N23" s="31">
        <f t="shared" si="4"/>
        <v>0</v>
      </c>
      <c r="O23" s="31">
        <f t="shared" si="5"/>
        <v>0</v>
      </c>
      <c r="P23" s="31"/>
      <c r="Q23" s="31"/>
    </row>
    <row r="24" spans="1:17" ht="48" customHeight="1">
      <c r="A24" s="33" t="s">
        <v>155</v>
      </c>
      <c r="B24" s="33" t="s">
        <v>121</v>
      </c>
      <c r="C24" s="34" t="str">
        <f>IF(COUNTIFS('02 Hospice Setup'!$A$26:$A$50,A24,'02 Hospice Setup'!$E$26:$E$50,"Yes")&gt;0,"Yes","No")</f>
        <v>No</v>
      </c>
      <c r="D24" s="84"/>
      <c r="E24" s="84"/>
      <c r="F24" s="84"/>
      <c r="G24" s="35">
        <f t="shared" si="0"/>
        <v>0</v>
      </c>
      <c r="H24" s="85"/>
      <c r="I24" s="86"/>
      <c r="J24" s="86"/>
      <c r="K24" s="34" t="str">
        <f t="shared" si="1"/>
        <v>OK</v>
      </c>
      <c r="L24" s="31">
        <f t="shared" si="2"/>
        <v>0</v>
      </c>
      <c r="M24" s="31">
        <f t="shared" si="3"/>
        <v>0</v>
      </c>
      <c r="N24" s="31">
        <f t="shared" si="4"/>
        <v>0</v>
      </c>
      <c r="O24" s="31">
        <f t="shared" si="5"/>
        <v>0</v>
      </c>
      <c r="P24" s="31"/>
      <c r="Q24" s="31"/>
    </row>
    <row r="25" spans="1:17" ht="48" customHeight="1">
      <c r="A25" s="33" t="s">
        <v>156</v>
      </c>
      <c r="B25" s="33" t="s">
        <v>157</v>
      </c>
      <c r="C25" s="34" t="str">
        <f>IF(COUNTIFS('02 Hospice Setup'!$A$26:$A$50,A25,'02 Hospice Setup'!$E$26:$E$50,"Yes")&gt;0,"Yes","No")</f>
        <v>No</v>
      </c>
      <c r="D25" s="84"/>
      <c r="E25" s="84"/>
      <c r="F25" s="84"/>
      <c r="G25" s="35">
        <f t="shared" si="0"/>
        <v>0</v>
      </c>
      <c r="H25" s="85"/>
      <c r="I25" s="86"/>
      <c r="J25" s="86"/>
      <c r="K25" s="34" t="str">
        <f t="shared" si="1"/>
        <v>OK</v>
      </c>
      <c r="L25" s="31">
        <f t="shared" si="2"/>
        <v>0</v>
      </c>
      <c r="M25" s="31">
        <f t="shared" si="3"/>
        <v>0</v>
      </c>
      <c r="N25" s="31">
        <f t="shared" si="4"/>
        <v>0</v>
      </c>
      <c r="O25" s="31">
        <f t="shared" si="5"/>
        <v>0</v>
      </c>
      <c r="P25" s="31"/>
      <c r="Q25" s="31"/>
    </row>
    <row r="26" spans="1:17" ht="48" customHeight="1">
      <c r="A26" s="33" t="s">
        <v>158</v>
      </c>
      <c r="B26" s="33" t="s">
        <v>159</v>
      </c>
      <c r="C26" s="34" t="str">
        <f>IF(COUNTIFS('02 Hospice Setup'!$A$26:$A$50,A26,'02 Hospice Setup'!$E$26:$E$50,"Yes")&gt;0,"Yes","No")</f>
        <v>No</v>
      </c>
      <c r="D26" s="84"/>
      <c r="E26" s="84"/>
      <c r="F26" s="84"/>
      <c r="G26" s="35">
        <f t="shared" si="0"/>
        <v>0</v>
      </c>
      <c r="H26" s="85"/>
      <c r="I26" s="86"/>
      <c r="J26" s="86"/>
      <c r="K26" s="34" t="str">
        <f t="shared" si="1"/>
        <v>OK</v>
      </c>
      <c r="L26" s="31">
        <f t="shared" si="2"/>
        <v>0</v>
      </c>
      <c r="M26" s="31">
        <f t="shared" si="3"/>
        <v>0</v>
      </c>
      <c r="N26" s="31">
        <f t="shared" si="4"/>
        <v>0</v>
      </c>
      <c r="O26" s="31">
        <f t="shared" si="5"/>
        <v>0</v>
      </c>
      <c r="P26" s="31"/>
      <c r="Q26" s="31"/>
    </row>
    <row r="27" spans="1:17" ht="48" customHeight="1">
      <c r="A27" s="33" t="s">
        <v>160</v>
      </c>
      <c r="B27" s="33" t="s">
        <v>161</v>
      </c>
      <c r="C27" s="34" t="str">
        <f>IF(COUNTIFS('02 Hospice Setup'!$A$26:$A$50,A27,'02 Hospice Setup'!$E$26:$E$50,"Yes")&gt;0,"Yes","No")</f>
        <v>No</v>
      </c>
      <c r="D27" s="84"/>
      <c r="E27" s="84"/>
      <c r="F27" s="84"/>
      <c r="G27" s="35">
        <f t="shared" si="0"/>
        <v>0</v>
      </c>
      <c r="H27" s="85"/>
      <c r="I27" s="86"/>
      <c r="J27" s="86"/>
      <c r="K27" s="34" t="str">
        <f t="shared" si="1"/>
        <v>OK</v>
      </c>
      <c r="L27" s="31">
        <f t="shared" si="2"/>
        <v>0</v>
      </c>
      <c r="M27" s="31">
        <f t="shared" si="3"/>
        <v>0</v>
      </c>
      <c r="N27" s="31">
        <f t="shared" si="4"/>
        <v>0</v>
      </c>
      <c r="O27" s="31">
        <f t="shared" si="5"/>
        <v>0</v>
      </c>
      <c r="P27" s="31"/>
      <c r="Q27" s="31"/>
    </row>
    <row r="28" spans="1:17" ht="48" customHeight="1">
      <c r="A28" s="33" t="s">
        <v>162</v>
      </c>
      <c r="B28" s="33" t="s">
        <v>163</v>
      </c>
      <c r="C28" s="34" t="str">
        <f>IF(COUNTIFS('02 Hospice Setup'!$A$26:$A$50,A28,'02 Hospice Setup'!$E$26:$E$50,"Yes")&gt;0,"Yes","No")</f>
        <v>No</v>
      </c>
      <c r="D28" s="84"/>
      <c r="E28" s="84"/>
      <c r="F28" s="84"/>
      <c r="G28" s="35">
        <f t="shared" si="0"/>
        <v>0</v>
      </c>
      <c r="H28" s="85"/>
      <c r="I28" s="86"/>
      <c r="J28" s="86"/>
      <c r="K28" s="34" t="str">
        <f t="shared" si="1"/>
        <v>OK</v>
      </c>
      <c r="L28" s="31">
        <f t="shared" si="2"/>
        <v>0</v>
      </c>
      <c r="M28" s="31">
        <f t="shared" si="3"/>
        <v>0</v>
      </c>
      <c r="N28" s="31">
        <f t="shared" si="4"/>
        <v>0</v>
      </c>
      <c r="O28" s="31">
        <f t="shared" si="5"/>
        <v>0</v>
      </c>
      <c r="P28" s="31"/>
      <c r="Q28" s="31"/>
    </row>
    <row r="29" spans="1:17" ht="48" customHeight="1">
      <c r="A29" s="33" t="s">
        <v>164</v>
      </c>
      <c r="B29" s="33" t="s">
        <v>167</v>
      </c>
      <c r="C29" s="34" t="str">
        <f>IF(COUNTIFS('02 Hospice Setup'!$A$26:$A$50,A29,'02 Hospice Setup'!$E$26:$E$50,"Yes")&gt;0,"Yes","No")</f>
        <v>No</v>
      </c>
      <c r="D29" s="84"/>
      <c r="E29" s="84"/>
      <c r="F29" s="84"/>
      <c r="G29" s="35">
        <f t="shared" si="0"/>
        <v>0</v>
      </c>
      <c r="H29" s="85"/>
      <c r="I29" s="86"/>
      <c r="J29" s="86"/>
      <c r="K29" s="34" t="str">
        <f t="shared" si="1"/>
        <v>OK</v>
      </c>
      <c r="L29" s="31">
        <f t="shared" si="2"/>
        <v>0</v>
      </c>
      <c r="M29" s="31">
        <f t="shared" si="3"/>
        <v>0</v>
      </c>
      <c r="N29" s="31">
        <f t="shared" si="4"/>
        <v>0</v>
      </c>
      <c r="O29" s="31">
        <f t="shared" si="5"/>
        <v>0</v>
      </c>
      <c r="P29" s="31"/>
      <c r="Q29" s="31"/>
    </row>
    <row r="30" spans="1:17" ht="48" customHeight="1">
      <c r="A30" s="33" t="s">
        <v>168</v>
      </c>
      <c r="B30" s="33" t="s">
        <v>169</v>
      </c>
      <c r="C30" s="34" t="str">
        <f>IF(COUNTIFS('02 Hospice Setup'!$A$26:$A$50,A30,'02 Hospice Setup'!$E$26:$E$50,"Yes")&gt;0,"Yes","No")</f>
        <v>No</v>
      </c>
      <c r="D30" s="84"/>
      <c r="E30" s="84"/>
      <c r="F30" s="84"/>
      <c r="G30" s="35">
        <f t="shared" si="0"/>
        <v>0</v>
      </c>
      <c r="H30" s="85"/>
      <c r="I30" s="86"/>
      <c r="J30" s="86"/>
      <c r="K30" s="34" t="str">
        <f t="shared" si="1"/>
        <v>OK</v>
      </c>
      <c r="L30" s="31">
        <f t="shared" si="2"/>
        <v>0</v>
      </c>
      <c r="M30" s="31">
        <f t="shared" si="3"/>
        <v>0</v>
      </c>
      <c r="N30" s="31">
        <f t="shared" si="4"/>
        <v>0</v>
      </c>
      <c r="O30" s="31">
        <f t="shared" si="5"/>
        <v>0</v>
      </c>
      <c r="P30" s="31"/>
      <c r="Q30" s="31"/>
    </row>
    <row r="31" spans="1:17" ht="48" customHeight="1">
      <c r="A31" s="33" t="s">
        <v>170</v>
      </c>
      <c r="B31" s="33" t="s">
        <v>166</v>
      </c>
      <c r="C31" s="34" t="str">
        <f>IF(COUNTIFS('02 Hospice Setup'!$A$26:$A$50,A31,'02 Hospice Setup'!$E$26:$E$50,"Yes")&gt;0,"Yes","No")</f>
        <v>No</v>
      </c>
      <c r="D31" s="84"/>
      <c r="E31" s="84"/>
      <c r="F31" s="84"/>
      <c r="G31" s="35">
        <f t="shared" si="0"/>
        <v>0</v>
      </c>
      <c r="H31" s="85"/>
      <c r="I31" s="86"/>
      <c r="J31" s="86"/>
      <c r="K31" s="34" t="str">
        <f t="shared" si="1"/>
        <v>OK</v>
      </c>
      <c r="L31" s="31">
        <f t="shared" si="2"/>
        <v>0</v>
      </c>
      <c r="M31" s="31">
        <f t="shared" si="3"/>
        <v>0</v>
      </c>
      <c r="N31" s="31">
        <f t="shared" si="4"/>
        <v>0</v>
      </c>
      <c r="O31" s="31">
        <f t="shared" si="5"/>
        <v>0</v>
      </c>
      <c r="P31" s="31"/>
      <c r="Q31" s="31"/>
    </row>
    <row r="32" spans="1:17" ht="15">
      <c r="A32" s="31"/>
      <c r="B32" s="31"/>
      <c r="C32" s="31"/>
      <c r="D32" s="31"/>
      <c r="E32" s="31"/>
      <c r="F32" s="31"/>
      <c r="G32" s="31"/>
      <c r="H32" s="31"/>
      <c r="I32" s="31"/>
      <c r="J32" s="31"/>
      <c r="K32" s="31"/>
      <c r="L32" s="31"/>
      <c r="M32" s="31"/>
      <c r="N32" s="31"/>
      <c r="O32" s="31"/>
      <c r="P32" s="31"/>
      <c r="Q32" s="31"/>
    </row>
    <row r="33" spans="1:17" ht="48" customHeight="1">
      <c r="A33" s="121" t="s">
        <v>216</v>
      </c>
      <c r="B33" s="121"/>
      <c r="C33" s="121"/>
      <c r="D33" s="121"/>
      <c r="E33" s="121"/>
      <c r="F33" s="121"/>
      <c r="G33" s="121"/>
      <c r="H33" s="121"/>
      <c r="I33" s="121"/>
      <c r="J33" s="121"/>
      <c r="K33" s="121"/>
      <c r="L33" s="31"/>
      <c r="M33" s="31"/>
      <c r="N33" s="31"/>
      <c r="O33" s="31"/>
      <c r="P33" s="31"/>
      <c r="Q33" s="31"/>
    </row>
    <row r="34" spans="1:17" ht="15">
      <c r="A34" s="31"/>
      <c r="B34" s="31"/>
      <c r="C34" s="31"/>
      <c r="D34" s="31"/>
      <c r="E34" s="31"/>
      <c r="F34" s="31"/>
      <c r="G34" s="31"/>
      <c r="H34" s="31"/>
      <c r="I34" s="31"/>
      <c r="J34" s="31"/>
      <c r="K34" s="31"/>
      <c r="L34" s="31"/>
      <c r="M34" s="31"/>
      <c r="N34" s="31"/>
      <c r="O34" s="31"/>
      <c r="P34" s="31"/>
      <c r="Q34" s="31"/>
    </row>
    <row r="35" spans="1:17" ht="44" customHeight="1">
      <c r="A35" s="121" t="s">
        <v>217</v>
      </c>
      <c r="B35" s="121"/>
      <c r="C35" s="121"/>
      <c r="D35" s="121"/>
      <c r="E35" s="121"/>
      <c r="F35" s="121"/>
      <c r="G35" s="121"/>
      <c r="H35" s="121"/>
      <c r="I35" s="121"/>
      <c r="J35" s="121"/>
      <c r="K35" s="121"/>
      <c r="L35" s="31"/>
      <c r="M35" s="31"/>
      <c r="N35" s="31"/>
      <c r="O35" s="31"/>
      <c r="P35" s="31"/>
      <c r="Q35" s="31"/>
    </row>
    <row r="36" spans="1:17" ht="15">
      <c r="A36" s="31"/>
      <c r="B36" s="31"/>
      <c r="C36" s="31"/>
      <c r="D36" s="31"/>
      <c r="E36" s="31"/>
      <c r="F36" s="31"/>
      <c r="G36" s="31"/>
      <c r="H36" s="31"/>
      <c r="I36" s="31"/>
      <c r="J36" s="31"/>
      <c r="K36" s="31"/>
      <c r="L36" s="31"/>
      <c r="M36" s="31"/>
      <c r="N36" s="31"/>
      <c r="O36" s="31"/>
      <c r="P36" s="31"/>
      <c r="Q36" s="31"/>
    </row>
    <row r="37" spans="1:17" ht="15">
      <c r="A37" s="31"/>
      <c r="B37" s="31"/>
      <c r="C37" s="31"/>
      <c r="D37" s="31"/>
      <c r="E37" s="31"/>
      <c r="F37" s="31"/>
      <c r="G37" s="31"/>
      <c r="H37" s="31"/>
      <c r="I37" s="31"/>
      <c r="J37" s="31"/>
      <c r="K37" s="31"/>
      <c r="L37" s="31"/>
      <c r="M37" s="31"/>
      <c r="N37" s="31"/>
      <c r="O37" s="31"/>
      <c r="P37" s="31"/>
      <c r="Q37" s="31"/>
    </row>
    <row r="38" spans="1:17" ht="15">
      <c r="A38" s="31"/>
      <c r="B38" s="31"/>
      <c r="C38" s="31"/>
      <c r="D38" s="31"/>
      <c r="E38" s="31"/>
      <c r="F38" s="31"/>
      <c r="G38" s="31"/>
      <c r="H38" s="31"/>
      <c r="I38" s="31"/>
      <c r="J38" s="31"/>
      <c r="K38" s="31"/>
      <c r="L38" s="31"/>
      <c r="M38" s="31"/>
      <c r="N38" s="31"/>
      <c r="O38" s="31"/>
      <c r="P38" s="31"/>
      <c r="Q38" s="31"/>
    </row>
    <row r="39" spans="1:17" ht="15">
      <c r="A39" s="31"/>
      <c r="B39" s="31"/>
      <c r="C39" s="31"/>
      <c r="D39" s="31"/>
      <c r="E39" s="31"/>
      <c r="F39" s="31"/>
      <c r="G39" s="31"/>
      <c r="H39" s="31"/>
      <c r="I39" s="31"/>
      <c r="J39" s="31"/>
      <c r="K39" s="31"/>
      <c r="L39" s="31"/>
      <c r="M39" s="31"/>
      <c r="N39" s="31"/>
      <c r="O39" s="31"/>
      <c r="P39" s="31"/>
      <c r="Q39" s="31"/>
    </row>
    <row r="40" spans="1:17" ht="15">
      <c r="A40" s="31"/>
      <c r="B40" s="31"/>
      <c r="C40" s="31"/>
      <c r="D40" s="31"/>
      <c r="E40" s="31"/>
      <c r="F40" s="31"/>
      <c r="G40" s="31"/>
      <c r="H40" s="31"/>
      <c r="I40" s="31"/>
      <c r="J40" s="31"/>
      <c r="K40" s="31"/>
      <c r="L40" s="31"/>
      <c r="M40" s="31"/>
      <c r="N40" s="31"/>
      <c r="O40" s="31"/>
      <c r="P40" s="31"/>
      <c r="Q40" s="31"/>
    </row>
    <row r="41" spans="1:17" ht="15">
      <c r="A41" s="31"/>
      <c r="B41" s="31"/>
      <c r="C41" s="31"/>
      <c r="D41" s="31"/>
      <c r="E41" s="31"/>
      <c r="F41" s="31"/>
      <c r="G41" s="31"/>
      <c r="H41" s="31"/>
      <c r="I41" s="31"/>
      <c r="J41" s="31"/>
      <c r="K41" s="31"/>
      <c r="L41" s="31"/>
      <c r="M41" s="31"/>
      <c r="N41" s="31"/>
      <c r="O41" s="31"/>
      <c r="P41" s="31"/>
      <c r="Q41" s="31"/>
    </row>
    <row r="42" spans="1:17" ht="15">
      <c r="A42" s="31"/>
      <c r="B42" s="31"/>
      <c r="C42" s="31"/>
      <c r="D42" s="31"/>
      <c r="E42" s="31"/>
      <c r="F42" s="31"/>
      <c r="G42" s="31"/>
      <c r="H42" s="31"/>
      <c r="I42" s="31"/>
      <c r="J42" s="31"/>
      <c r="K42" s="31"/>
      <c r="L42" s="31"/>
      <c r="M42" s="31"/>
      <c r="N42" s="31"/>
      <c r="O42" s="31"/>
      <c r="P42" s="31"/>
      <c r="Q42" s="31"/>
    </row>
    <row r="43" spans="1:17" ht="15">
      <c r="A43" s="31"/>
      <c r="B43" s="31"/>
      <c r="C43" s="31"/>
      <c r="D43" s="31"/>
      <c r="E43" s="31"/>
      <c r="F43" s="31"/>
      <c r="G43" s="31"/>
      <c r="H43" s="31"/>
      <c r="I43" s="31"/>
      <c r="J43" s="31"/>
      <c r="K43" s="31"/>
      <c r="L43" s="31"/>
      <c r="M43" s="31"/>
      <c r="N43" s="31"/>
      <c r="O43" s="31"/>
      <c r="P43" s="31"/>
      <c r="Q43" s="31"/>
    </row>
    <row r="44" spans="1:17" ht="15">
      <c r="A44" s="31"/>
      <c r="B44" s="31"/>
      <c r="C44" s="31"/>
      <c r="D44" s="31"/>
      <c r="E44" s="31"/>
      <c r="F44" s="31"/>
      <c r="G44" s="31"/>
      <c r="H44" s="31"/>
      <c r="I44" s="31"/>
      <c r="J44" s="31"/>
      <c r="K44" s="31"/>
      <c r="L44" s="31"/>
      <c r="M44" s="31"/>
      <c r="N44" s="31"/>
      <c r="O44" s="31"/>
      <c r="P44" s="31"/>
      <c r="Q44" s="31"/>
    </row>
    <row r="409" ht="42" customHeight="1"/>
    <row r="410" ht="42" customHeight="1"/>
    <row r="411" ht="42" customHeight="1"/>
    <row r="412" ht="42" customHeight="1"/>
    <row r="413" ht="42" customHeight="1"/>
    <row r="414" ht="42" customHeight="1"/>
    <row r="415" ht="42" customHeight="1"/>
    <row r="416" ht="42" customHeight="1"/>
    <row r="417" ht="42" customHeight="1"/>
    <row r="418" ht="42" customHeight="1"/>
    <row r="419" ht="42" customHeight="1"/>
    <row r="420" ht="42" customHeight="1"/>
    <row r="421" ht="42" customHeight="1"/>
    <row r="422" ht="42" customHeight="1"/>
    <row r="423" ht="42" customHeight="1"/>
  </sheetData>
  <sheetProtection sheet="1" objects="1" scenarios="1" formatColumns="0" formatRows="0"/>
  <mergeCells count="4">
    <mergeCell ref="A1:K1"/>
    <mergeCell ref="A2:K2"/>
    <mergeCell ref="A33:K33"/>
    <mergeCell ref="A35:K35"/>
  </mergeCells>
  <conditionalFormatting sqref="A409:M423">
    <cfRule type="expression" dxfId="2" priority="1">
      <formula>$D409="No"</formula>
    </cfRule>
  </conditionalFormatting>
  <conditionalFormatting sqref="D5:J31">
    <cfRule type="expression" dxfId="1" priority="2">
      <formula>$C5&lt;&gt;"Yes"</formula>
    </cfRule>
  </conditionalFormatting>
  <dataValidations count="1">
    <dataValidation type="list" allowBlank="1" showErrorMessage="1" errorTitle="Choose a listed value" error="Use the dropdown list." sqref="I5:I31" xr:uid="{00000000-0002-0000-0300-000000000000}">
      <formula1>"Yes,No,Not known"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showGridLines="0" workbookViewId="0">
      <selection sqref="A1:H1"/>
    </sheetView>
  </sheetViews>
  <sheetFormatPr baseColWidth="10" defaultColWidth="8.83203125" defaultRowHeight="14"/>
  <cols>
    <col min="1" max="1" width="14" customWidth="1"/>
    <col min="2" max="2" width="36" customWidth="1"/>
    <col min="3" max="3" width="44" customWidth="1"/>
    <col min="4" max="4" width="18" customWidth="1"/>
    <col min="5" max="5" width="14" customWidth="1"/>
    <col min="6" max="6" width="16" customWidth="1"/>
    <col min="7" max="7" width="22" customWidth="1"/>
    <col min="8" max="8" width="24" customWidth="1"/>
    <col min="9" max="9" width="3" customWidth="1"/>
    <col min="10" max="10" width="28" customWidth="1"/>
    <col min="11" max="11" width="18" customWidth="1"/>
    <col min="12" max="12" width="14" customWidth="1"/>
  </cols>
  <sheetData>
    <row r="1" spans="1:12" ht="34" customHeight="1">
      <c r="A1" s="111" t="s">
        <v>24</v>
      </c>
      <c r="B1" s="111"/>
      <c r="C1" s="111"/>
      <c r="D1" s="111"/>
      <c r="E1" s="111"/>
      <c r="F1" s="111"/>
      <c r="G1" s="111"/>
      <c r="H1" s="111"/>
    </row>
    <row r="2" spans="1:12" ht="28" customHeight="1">
      <c r="A2" s="112" t="s">
        <v>218</v>
      </c>
      <c r="B2" s="112"/>
      <c r="C2" s="112"/>
      <c r="D2" s="112"/>
      <c r="E2" s="112"/>
      <c r="F2" s="112"/>
      <c r="G2" s="112"/>
      <c r="H2" s="112"/>
    </row>
    <row r="4" spans="1:12" ht="30" customHeight="1">
      <c r="A4" s="2" t="s">
        <v>219</v>
      </c>
      <c r="B4" s="2" t="s">
        <v>220</v>
      </c>
      <c r="C4" s="2" t="s">
        <v>221</v>
      </c>
      <c r="D4" s="2" t="s">
        <v>222</v>
      </c>
      <c r="E4" s="2" t="s">
        <v>223</v>
      </c>
      <c r="F4" s="2" t="s">
        <v>70</v>
      </c>
      <c r="G4" s="2" t="s">
        <v>224</v>
      </c>
      <c r="H4" s="2" t="s">
        <v>225</v>
      </c>
      <c r="J4" s="2" t="s">
        <v>226</v>
      </c>
      <c r="K4" s="2" t="s">
        <v>227</v>
      </c>
      <c r="L4" s="2" t="s">
        <v>71</v>
      </c>
    </row>
    <row r="5" spans="1:12">
      <c r="A5" s="3" t="s">
        <v>228</v>
      </c>
      <c r="B5" s="3" t="s">
        <v>229</v>
      </c>
      <c r="C5" s="3" t="s">
        <v>230</v>
      </c>
      <c r="D5" s="3" t="s">
        <v>231</v>
      </c>
      <c r="E5" s="9" t="s">
        <v>232</v>
      </c>
      <c r="F5" s="87">
        <v>0</v>
      </c>
      <c r="G5" s="68" t="s">
        <v>233</v>
      </c>
      <c r="H5" s="88"/>
      <c r="J5" s="6" t="s">
        <v>234</v>
      </c>
      <c r="K5" s="7">
        <f>SUM(F5:F30)</f>
        <v>0</v>
      </c>
      <c r="L5" s="6"/>
    </row>
    <row r="6" spans="1:12">
      <c r="A6" s="3" t="s">
        <v>228</v>
      </c>
      <c r="B6" s="3" t="s">
        <v>229</v>
      </c>
      <c r="C6" s="3" t="s">
        <v>235</v>
      </c>
      <c r="D6" s="3" t="s">
        <v>236</v>
      </c>
      <c r="E6" s="9" t="s">
        <v>232</v>
      </c>
      <c r="F6" s="87">
        <v>0</v>
      </c>
      <c r="G6" s="68" t="s">
        <v>233</v>
      </c>
      <c r="H6" s="88"/>
      <c r="J6" s="6" t="s">
        <v>237</v>
      </c>
      <c r="K6" s="7">
        <f>SUM(F31:F41)</f>
        <v>0</v>
      </c>
      <c r="L6" s="6"/>
    </row>
    <row r="7" spans="1:12">
      <c r="A7" s="3" t="s">
        <v>238</v>
      </c>
      <c r="B7" s="3" t="s">
        <v>239</v>
      </c>
      <c r="C7" s="3" t="s">
        <v>240</v>
      </c>
      <c r="D7" s="3" t="s">
        <v>231</v>
      </c>
      <c r="E7" s="9" t="s">
        <v>232</v>
      </c>
      <c r="F7" s="87">
        <v>0</v>
      </c>
      <c r="G7" s="68" t="s">
        <v>233</v>
      </c>
      <c r="H7" s="88"/>
      <c r="J7" s="6" t="s">
        <v>241</v>
      </c>
      <c r="K7" s="7">
        <f>SUM(K5:K6)</f>
        <v>0</v>
      </c>
      <c r="L7" s="6"/>
    </row>
    <row r="8" spans="1:12">
      <c r="A8" s="3" t="s">
        <v>238</v>
      </c>
      <c r="B8" s="3" t="s">
        <v>239</v>
      </c>
      <c r="C8" s="3" t="s">
        <v>242</v>
      </c>
      <c r="D8" s="3" t="s">
        <v>236</v>
      </c>
      <c r="E8" s="9" t="s">
        <v>232</v>
      </c>
      <c r="F8" s="87">
        <v>0</v>
      </c>
      <c r="G8" s="68" t="s">
        <v>233</v>
      </c>
      <c r="H8" s="88"/>
    </row>
    <row r="9" spans="1:12">
      <c r="A9" s="3" t="s">
        <v>243</v>
      </c>
      <c r="B9" s="3" t="s">
        <v>244</v>
      </c>
      <c r="C9" s="3" t="s">
        <v>245</v>
      </c>
      <c r="D9" s="3" t="s">
        <v>231</v>
      </c>
      <c r="E9" s="9" t="s">
        <v>232</v>
      </c>
      <c r="F9" s="87">
        <v>0</v>
      </c>
      <c r="G9" s="68" t="s">
        <v>246</v>
      </c>
      <c r="H9" s="88"/>
    </row>
    <row r="10" spans="1:12">
      <c r="A10" s="3" t="s">
        <v>243</v>
      </c>
      <c r="B10" s="3" t="s">
        <v>244</v>
      </c>
      <c r="C10" s="3" t="s">
        <v>247</v>
      </c>
      <c r="D10" s="3" t="s">
        <v>236</v>
      </c>
      <c r="E10" s="9" t="s">
        <v>232</v>
      </c>
      <c r="F10" s="87">
        <v>0</v>
      </c>
      <c r="G10" s="68" t="s">
        <v>246</v>
      </c>
      <c r="H10" s="88"/>
    </row>
    <row r="11" spans="1:12">
      <c r="A11" s="3" t="s">
        <v>248</v>
      </c>
      <c r="B11" s="3" t="s">
        <v>249</v>
      </c>
      <c r="C11" s="3" t="s">
        <v>250</v>
      </c>
      <c r="D11" s="3" t="s">
        <v>231</v>
      </c>
      <c r="E11" s="9" t="s">
        <v>232</v>
      </c>
      <c r="F11" s="87">
        <v>0</v>
      </c>
      <c r="G11" s="68" t="s">
        <v>251</v>
      </c>
      <c r="H11" s="88"/>
    </row>
    <row r="12" spans="1:12">
      <c r="A12" s="3" t="s">
        <v>248</v>
      </c>
      <c r="B12" s="3" t="s">
        <v>249</v>
      </c>
      <c r="C12" s="3" t="s">
        <v>252</v>
      </c>
      <c r="D12" s="3" t="s">
        <v>236</v>
      </c>
      <c r="E12" s="9" t="s">
        <v>232</v>
      </c>
      <c r="F12" s="87">
        <v>0</v>
      </c>
      <c r="G12" s="68" t="s">
        <v>251</v>
      </c>
      <c r="H12" s="88"/>
    </row>
    <row r="13" spans="1:12">
      <c r="A13" s="3" t="s">
        <v>253</v>
      </c>
      <c r="B13" s="3" t="s">
        <v>254</v>
      </c>
      <c r="C13" s="3" t="s">
        <v>255</v>
      </c>
      <c r="D13" s="3" t="s">
        <v>231</v>
      </c>
      <c r="E13" s="9" t="s">
        <v>232</v>
      </c>
      <c r="F13" s="87">
        <v>0</v>
      </c>
      <c r="G13" s="68" t="s">
        <v>251</v>
      </c>
      <c r="H13" s="88"/>
    </row>
    <row r="14" spans="1:12">
      <c r="A14" s="3" t="s">
        <v>253</v>
      </c>
      <c r="B14" s="3" t="s">
        <v>254</v>
      </c>
      <c r="C14" s="3" t="s">
        <v>256</v>
      </c>
      <c r="D14" s="3" t="s">
        <v>236</v>
      </c>
      <c r="E14" s="9" t="s">
        <v>232</v>
      </c>
      <c r="F14" s="87">
        <v>0</v>
      </c>
      <c r="G14" s="68" t="s">
        <v>251</v>
      </c>
      <c r="H14" s="88"/>
    </row>
    <row r="15" spans="1:12">
      <c r="A15" s="3" t="s">
        <v>257</v>
      </c>
      <c r="B15" s="3" t="s">
        <v>258</v>
      </c>
      <c r="C15" s="3" t="s">
        <v>259</v>
      </c>
      <c r="D15" s="3" t="s">
        <v>231</v>
      </c>
      <c r="E15" s="9" t="s">
        <v>232</v>
      </c>
      <c r="F15" s="87">
        <v>0</v>
      </c>
      <c r="G15" s="68" t="s">
        <v>251</v>
      </c>
      <c r="H15" s="88"/>
    </row>
    <row r="16" spans="1:12">
      <c r="A16" s="3" t="s">
        <v>257</v>
      </c>
      <c r="B16" s="3" t="s">
        <v>258</v>
      </c>
      <c r="C16" s="3" t="s">
        <v>260</v>
      </c>
      <c r="D16" s="3" t="s">
        <v>236</v>
      </c>
      <c r="E16" s="9" t="s">
        <v>232</v>
      </c>
      <c r="F16" s="87">
        <v>0</v>
      </c>
      <c r="G16" s="68" t="s">
        <v>251</v>
      </c>
      <c r="H16" s="88"/>
    </row>
    <row r="17" spans="1:8">
      <c r="A17" s="3" t="s">
        <v>261</v>
      </c>
      <c r="B17" s="3" t="s">
        <v>262</v>
      </c>
      <c r="C17" s="3" t="s">
        <v>263</v>
      </c>
      <c r="D17" s="3" t="s">
        <v>231</v>
      </c>
      <c r="E17" s="9" t="s">
        <v>232</v>
      </c>
      <c r="F17" s="87">
        <v>0</v>
      </c>
      <c r="G17" s="68" t="s">
        <v>251</v>
      </c>
      <c r="H17" s="88"/>
    </row>
    <row r="18" spans="1:8">
      <c r="A18" s="3" t="s">
        <v>261</v>
      </c>
      <c r="B18" s="3" t="s">
        <v>262</v>
      </c>
      <c r="C18" s="3" t="s">
        <v>264</v>
      </c>
      <c r="D18" s="3" t="s">
        <v>236</v>
      </c>
      <c r="E18" s="9" t="s">
        <v>232</v>
      </c>
      <c r="F18" s="87">
        <v>0</v>
      </c>
      <c r="G18" s="68" t="s">
        <v>251</v>
      </c>
      <c r="H18" s="88"/>
    </row>
    <row r="19" spans="1:8">
      <c r="A19" s="3" t="s">
        <v>265</v>
      </c>
      <c r="B19" s="3" t="s">
        <v>266</v>
      </c>
      <c r="C19" s="3" t="s">
        <v>267</v>
      </c>
      <c r="D19" s="3" t="s">
        <v>231</v>
      </c>
      <c r="E19" s="9" t="s">
        <v>232</v>
      </c>
      <c r="F19" s="87">
        <v>0</v>
      </c>
      <c r="G19" s="68" t="s">
        <v>268</v>
      </c>
      <c r="H19" s="88"/>
    </row>
    <row r="20" spans="1:8">
      <c r="A20" s="3" t="s">
        <v>265</v>
      </c>
      <c r="B20" s="3" t="s">
        <v>266</v>
      </c>
      <c r="C20" s="3" t="s">
        <v>269</v>
      </c>
      <c r="D20" s="3" t="s">
        <v>236</v>
      </c>
      <c r="E20" s="9" t="s">
        <v>232</v>
      </c>
      <c r="F20" s="87">
        <v>0</v>
      </c>
      <c r="G20" s="68" t="s">
        <v>268</v>
      </c>
      <c r="H20" s="88"/>
    </row>
    <row r="21" spans="1:8">
      <c r="A21" s="3" t="s">
        <v>270</v>
      </c>
      <c r="B21" s="3" t="s">
        <v>271</v>
      </c>
      <c r="C21" s="3" t="s">
        <v>272</v>
      </c>
      <c r="D21" s="3" t="s">
        <v>231</v>
      </c>
      <c r="E21" s="9" t="s">
        <v>232</v>
      </c>
      <c r="F21" s="87">
        <v>0</v>
      </c>
      <c r="G21" s="68" t="s">
        <v>273</v>
      </c>
      <c r="H21" s="88"/>
    </row>
    <row r="22" spans="1:8">
      <c r="A22" s="3" t="s">
        <v>270</v>
      </c>
      <c r="B22" s="3" t="s">
        <v>271</v>
      </c>
      <c r="C22" s="3" t="s">
        <v>274</v>
      </c>
      <c r="D22" s="3" t="s">
        <v>236</v>
      </c>
      <c r="E22" s="9" t="s">
        <v>232</v>
      </c>
      <c r="F22" s="87">
        <v>0</v>
      </c>
      <c r="G22" s="68" t="s">
        <v>273</v>
      </c>
      <c r="H22" s="88"/>
    </row>
    <row r="23" spans="1:8">
      <c r="A23" s="3" t="s">
        <v>275</v>
      </c>
      <c r="B23" s="3" t="s">
        <v>276</v>
      </c>
      <c r="C23" s="3" t="s">
        <v>277</v>
      </c>
      <c r="D23" s="3" t="s">
        <v>231</v>
      </c>
      <c r="E23" s="9" t="s">
        <v>232</v>
      </c>
      <c r="F23" s="87">
        <v>0</v>
      </c>
      <c r="G23" s="68" t="s">
        <v>278</v>
      </c>
      <c r="H23" s="88"/>
    </row>
    <row r="24" spans="1:8">
      <c r="A24" s="3" t="s">
        <v>275</v>
      </c>
      <c r="B24" s="3" t="s">
        <v>276</v>
      </c>
      <c r="C24" s="3" t="s">
        <v>279</v>
      </c>
      <c r="D24" s="3" t="s">
        <v>236</v>
      </c>
      <c r="E24" s="9" t="s">
        <v>232</v>
      </c>
      <c r="F24" s="87">
        <v>0</v>
      </c>
      <c r="G24" s="68" t="s">
        <v>278</v>
      </c>
      <c r="H24" s="88"/>
    </row>
    <row r="25" spans="1:8">
      <c r="A25" s="3" t="s">
        <v>280</v>
      </c>
      <c r="B25" s="3" t="s">
        <v>281</v>
      </c>
      <c r="C25" s="3" t="s">
        <v>282</v>
      </c>
      <c r="D25" s="3" t="s">
        <v>231</v>
      </c>
      <c r="E25" s="9" t="s">
        <v>232</v>
      </c>
      <c r="F25" s="82">
        <v>0</v>
      </c>
      <c r="G25" s="68" t="s">
        <v>273</v>
      </c>
      <c r="H25" s="88"/>
    </row>
    <row r="26" spans="1:8">
      <c r="A26" s="3" t="s">
        <v>280</v>
      </c>
      <c r="B26" s="3" t="s">
        <v>281</v>
      </c>
      <c r="C26" s="3" t="s">
        <v>283</v>
      </c>
      <c r="D26" s="3" t="s">
        <v>236</v>
      </c>
      <c r="E26" s="9" t="s">
        <v>232</v>
      </c>
      <c r="F26" s="82">
        <v>0</v>
      </c>
      <c r="G26" s="68" t="s">
        <v>273</v>
      </c>
      <c r="H26" s="88"/>
    </row>
    <row r="27" spans="1:8">
      <c r="A27" s="3" t="s">
        <v>284</v>
      </c>
      <c r="B27" s="3" t="s">
        <v>285</v>
      </c>
      <c r="C27" s="3" t="s">
        <v>286</v>
      </c>
      <c r="D27" s="3" t="s">
        <v>231</v>
      </c>
      <c r="E27" s="9" t="s">
        <v>232</v>
      </c>
      <c r="F27" s="69">
        <f>'03 Catering Adjustment'!B17</f>
        <v>0</v>
      </c>
      <c r="G27" s="68" t="s">
        <v>287</v>
      </c>
      <c r="H27" s="88" t="s">
        <v>288</v>
      </c>
    </row>
    <row r="28" spans="1:8">
      <c r="A28" s="3" t="s">
        <v>284</v>
      </c>
      <c r="B28" s="3" t="s">
        <v>285</v>
      </c>
      <c r="C28" s="3" t="s">
        <v>289</v>
      </c>
      <c r="D28" s="3" t="s">
        <v>236</v>
      </c>
      <c r="E28" s="9" t="s">
        <v>232</v>
      </c>
      <c r="F28" s="69">
        <f>'03 Catering Adjustment'!B18</f>
        <v>0</v>
      </c>
      <c r="G28" s="68" t="s">
        <v>287</v>
      </c>
      <c r="H28" s="88" t="s">
        <v>288</v>
      </c>
    </row>
    <row r="29" spans="1:8">
      <c r="A29" s="3" t="s">
        <v>290</v>
      </c>
      <c r="B29" s="3" t="s">
        <v>291</v>
      </c>
      <c r="C29" s="3" t="s">
        <v>292</v>
      </c>
      <c r="D29" s="3" t="s">
        <v>231</v>
      </c>
      <c r="E29" s="9" t="s">
        <v>232</v>
      </c>
      <c r="F29" s="87">
        <v>0</v>
      </c>
      <c r="G29" s="68" t="s">
        <v>233</v>
      </c>
      <c r="H29" s="88"/>
    </row>
    <row r="30" spans="1:8">
      <c r="A30" s="3" t="s">
        <v>290</v>
      </c>
      <c r="B30" s="3" t="s">
        <v>291</v>
      </c>
      <c r="C30" s="3" t="s">
        <v>293</v>
      </c>
      <c r="D30" s="3" t="s">
        <v>236</v>
      </c>
      <c r="E30" s="9" t="s">
        <v>232</v>
      </c>
      <c r="F30" s="87">
        <v>0</v>
      </c>
      <c r="G30" s="68" t="s">
        <v>233</v>
      </c>
      <c r="H30" s="88"/>
    </row>
    <row r="31" spans="1:8">
      <c r="A31" s="3" t="s">
        <v>294</v>
      </c>
      <c r="B31" s="3" t="s">
        <v>295</v>
      </c>
      <c r="C31" s="3" t="s">
        <v>296</v>
      </c>
      <c r="D31" s="3" t="s">
        <v>231</v>
      </c>
      <c r="E31" s="9" t="s">
        <v>297</v>
      </c>
      <c r="F31" s="87">
        <v>0</v>
      </c>
      <c r="G31" s="68" t="s">
        <v>298</v>
      </c>
      <c r="H31" s="88"/>
    </row>
    <row r="32" spans="1:8">
      <c r="A32" s="3" t="s">
        <v>294</v>
      </c>
      <c r="B32" s="3" t="s">
        <v>295</v>
      </c>
      <c r="C32" s="3" t="s">
        <v>299</v>
      </c>
      <c r="D32" s="3" t="s">
        <v>236</v>
      </c>
      <c r="E32" s="9" t="s">
        <v>297</v>
      </c>
      <c r="F32" s="87">
        <v>0</v>
      </c>
      <c r="G32" s="68" t="s">
        <v>298</v>
      </c>
      <c r="H32" s="88"/>
    </row>
    <row r="33" spans="1:8">
      <c r="A33" s="3" t="s">
        <v>294</v>
      </c>
      <c r="B33" s="3" t="s">
        <v>295</v>
      </c>
      <c r="C33" s="3" t="s">
        <v>300</v>
      </c>
      <c r="D33" s="3" t="s">
        <v>236</v>
      </c>
      <c r="E33" s="9" t="s">
        <v>297</v>
      </c>
      <c r="F33" s="87">
        <v>0</v>
      </c>
      <c r="G33" s="68" t="s">
        <v>298</v>
      </c>
      <c r="H33" s="88"/>
    </row>
    <row r="34" spans="1:8">
      <c r="A34" s="3" t="s">
        <v>294</v>
      </c>
      <c r="B34" s="3" t="s">
        <v>295</v>
      </c>
      <c r="C34" s="3" t="s">
        <v>301</v>
      </c>
      <c r="D34" s="3" t="s">
        <v>236</v>
      </c>
      <c r="E34" s="9" t="s">
        <v>297</v>
      </c>
      <c r="F34" s="87">
        <v>0</v>
      </c>
      <c r="G34" s="68" t="s">
        <v>298</v>
      </c>
      <c r="H34" s="88"/>
    </row>
    <row r="35" spans="1:8">
      <c r="A35" s="3" t="s">
        <v>294</v>
      </c>
      <c r="B35" s="3" t="s">
        <v>295</v>
      </c>
      <c r="C35" s="3" t="s">
        <v>302</v>
      </c>
      <c r="D35" s="3" t="s">
        <v>236</v>
      </c>
      <c r="E35" s="9" t="s">
        <v>297</v>
      </c>
      <c r="F35" s="87">
        <v>0</v>
      </c>
      <c r="G35" s="68" t="s">
        <v>298</v>
      </c>
      <c r="H35" s="88"/>
    </row>
    <row r="36" spans="1:8">
      <c r="A36" s="3" t="s">
        <v>303</v>
      </c>
      <c r="B36" s="3" t="s">
        <v>304</v>
      </c>
      <c r="C36" s="3" t="s">
        <v>305</v>
      </c>
      <c r="D36" s="3" t="s">
        <v>231</v>
      </c>
      <c r="E36" s="9" t="s">
        <v>297</v>
      </c>
      <c r="F36" s="87">
        <v>0</v>
      </c>
      <c r="G36" s="68" t="s">
        <v>298</v>
      </c>
      <c r="H36" s="88"/>
    </row>
    <row r="37" spans="1:8">
      <c r="A37" s="3" t="s">
        <v>303</v>
      </c>
      <c r="B37" s="3" t="s">
        <v>304</v>
      </c>
      <c r="C37" s="3" t="s">
        <v>306</v>
      </c>
      <c r="D37" s="3" t="s">
        <v>236</v>
      </c>
      <c r="E37" s="9" t="s">
        <v>297</v>
      </c>
      <c r="F37" s="87">
        <v>0</v>
      </c>
      <c r="G37" s="68" t="s">
        <v>298</v>
      </c>
      <c r="H37" s="88"/>
    </row>
    <row r="38" spans="1:8">
      <c r="A38" s="3" t="s">
        <v>303</v>
      </c>
      <c r="B38" s="3" t="s">
        <v>304</v>
      </c>
      <c r="C38" s="3" t="s">
        <v>307</v>
      </c>
      <c r="D38" s="3" t="s">
        <v>236</v>
      </c>
      <c r="E38" s="9" t="s">
        <v>297</v>
      </c>
      <c r="F38" s="87">
        <v>0</v>
      </c>
      <c r="G38" s="68" t="s">
        <v>298</v>
      </c>
      <c r="H38" s="88"/>
    </row>
    <row r="39" spans="1:8">
      <c r="A39" s="3" t="s">
        <v>303</v>
      </c>
      <c r="B39" s="3" t="s">
        <v>304</v>
      </c>
      <c r="C39" s="3" t="s">
        <v>308</v>
      </c>
      <c r="D39" s="3" t="s">
        <v>236</v>
      </c>
      <c r="E39" s="9" t="s">
        <v>297</v>
      </c>
      <c r="F39" s="87">
        <v>0</v>
      </c>
      <c r="G39" s="68" t="s">
        <v>298</v>
      </c>
      <c r="H39" s="88"/>
    </row>
    <row r="40" spans="1:8">
      <c r="A40" s="3" t="s">
        <v>309</v>
      </c>
      <c r="B40" s="3" t="s">
        <v>310</v>
      </c>
      <c r="C40" s="3" t="s">
        <v>311</v>
      </c>
      <c r="D40" s="3" t="s">
        <v>231</v>
      </c>
      <c r="E40" s="9" t="s">
        <v>297</v>
      </c>
      <c r="F40" s="87">
        <v>0</v>
      </c>
      <c r="G40" s="68" t="s">
        <v>298</v>
      </c>
      <c r="H40" s="88"/>
    </row>
    <row r="41" spans="1:8">
      <c r="A41" s="3" t="s">
        <v>309</v>
      </c>
      <c r="B41" s="3" t="s">
        <v>310</v>
      </c>
      <c r="C41" s="3" t="s">
        <v>312</v>
      </c>
      <c r="D41" s="3" t="s">
        <v>236</v>
      </c>
      <c r="E41" s="9" t="s">
        <v>297</v>
      </c>
      <c r="F41" s="87">
        <v>0</v>
      </c>
      <c r="G41" s="68" t="s">
        <v>298</v>
      </c>
      <c r="H41" s="88"/>
    </row>
  </sheetData>
  <sheetProtection sheet="1" objects="1" scenarios="1" formatColumns="0" formatRows="0"/>
  <mergeCells count="2">
    <mergeCell ref="A1:H1"/>
    <mergeCell ref="A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0"/>
  <sheetViews>
    <sheetView showGridLines="0" workbookViewId="0">
      <selection sqref="A1:K1"/>
    </sheetView>
  </sheetViews>
  <sheetFormatPr baseColWidth="10" defaultColWidth="8.83203125" defaultRowHeight="14"/>
  <cols>
    <col min="1" max="1" width="12" customWidth="1"/>
    <col min="2" max="2" width="26" customWidth="1"/>
    <col min="3" max="3" width="44" customWidth="1"/>
    <col min="4" max="11" width="23" customWidth="1"/>
  </cols>
  <sheetData>
    <row r="1" spans="1:11" ht="30" customHeight="1">
      <c r="A1" s="116" t="s">
        <v>26</v>
      </c>
      <c r="B1" s="116"/>
      <c r="C1" s="116"/>
      <c r="D1" s="116"/>
      <c r="E1" s="116"/>
      <c r="F1" s="116"/>
      <c r="G1" s="116"/>
      <c r="H1" s="116"/>
      <c r="I1" s="116"/>
      <c r="J1" s="116"/>
      <c r="K1" s="116"/>
    </row>
    <row r="2" spans="1:11" ht="36" customHeight="1">
      <c r="A2" s="113" t="s">
        <v>313</v>
      </c>
      <c r="B2" s="113"/>
      <c r="C2" s="113"/>
      <c r="D2" s="113"/>
      <c r="E2" s="113"/>
      <c r="F2" s="113"/>
      <c r="G2" s="113"/>
      <c r="H2" s="113"/>
      <c r="I2" s="113"/>
      <c r="J2" s="113"/>
      <c r="K2" s="113"/>
    </row>
    <row r="3" spans="1:11">
      <c r="A3" s="21"/>
      <c r="B3" s="21"/>
      <c r="C3" s="21"/>
      <c r="D3" s="21"/>
      <c r="E3" s="21"/>
      <c r="F3" s="21"/>
      <c r="G3" s="21"/>
      <c r="H3" s="21"/>
      <c r="I3" s="21"/>
      <c r="J3" s="21"/>
      <c r="K3" s="21"/>
    </row>
    <row r="4" spans="1:11" ht="46" customHeight="1">
      <c r="A4" s="36" t="s">
        <v>314</v>
      </c>
      <c r="B4" s="36" t="s">
        <v>315</v>
      </c>
      <c r="C4" s="36" t="s">
        <v>206</v>
      </c>
      <c r="D4" s="36" t="s">
        <v>207</v>
      </c>
      <c r="E4" s="36" t="s">
        <v>208</v>
      </c>
      <c r="F4" s="36" t="s">
        <v>316</v>
      </c>
      <c r="G4" s="36" t="s">
        <v>317</v>
      </c>
      <c r="H4" s="36" t="s">
        <v>318</v>
      </c>
      <c r="I4" s="36" t="s">
        <v>319</v>
      </c>
      <c r="J4" s="36" t="s">
        <v>320</v>
      </c>
      <c r="K4" s="36"/>
    </row>
    <row r="5" spans="1:11" ht="40" customHeight="1">
      <c r="A5" s="21" t="s">
        <v>321</v>
      </c>
      <c r="B5" s="89"/>
      <c r="C5" s="90"/>
      <c r="D5" s="90"/>
      <c r="E5" s="90"/>
      <c r="F5" s="38" t="str">
        <f t="shared" ref="F5:F16" si="0">IF(COUNT(C5:E5)=0,"",SUM(C5:E5))</f>
        <v/>
      </c>
      <c r="G5" s="39" t="str">
        <f t="shared" ref="G5:G16" si="1">IF(F5="","",SUMIF($B$21:$B$260,A5,$E$21:$E$260))</f>
        <v/>
      </c>
      <c r="H5" s="40" t="str">
        <f t="shared" ref="H5:H16" si="2">IF(F5="","",IF(OR(B5="",I5="",ABS(G5-1)&gt;0.000001),"ERROR","OK"))</f>
        <v/>
      </c>
      <c r="I5" s="89"/>
      <c r="J5" s="89"/>
      <c r="K5" s="21"/>
    </row>
    <row r="6" spans="1:11" ht="40" customHeight="1">
      <c r="A6" s="21" t="s">
        <v>322</v>
      </c>
      <c r="B6" s="89"/>
      <c r="C6" s="90"/>
      <c r="D6" s="90"/>
      <c r="E6" s="90"/>
      <c r="F6" s="38" t="str">
        <f t="shared" si="0"/>
        <v/>
      </c>
      <c r="G6" s="39" t="str">
        <f t="shared" si="1"/>
        <v/>
      </c>
      <c r="H6" s="40" t="str">
        <f t="shared" si="2"/>
        <v/>
      </c>
      <c r="I6" s="89"/>
      <c r="J6" s="89"/>
      <c r="K6" s="21"/>
    </row>
    <row r="7" spans="1:11" ht="40" customHeight="1">
      <c r="A7" s="21" t="s">
        <v>323</v>
      </c>
      <c r="B7" s="89"/>
      <c r="C7" s="90"/>
      <c r="D7" s="90"/>
      <c r="E7" s="90"/>
      <c r="F7" s="38" t="str">
        <f t="shared" si="0"/>
        <v/>
      </c>
      <c r="G7" s="39" t="str">
        <f t="shared" si="1"/>
        <v/>
      </c>
      <c r="H7" s="40" t="str">
        <f t="shared" si="2"/>
        <v/>
      </c>
      <c r="I7" s="89"/>
      <c r="J7" s="89"/>
      <c r="K7" s="21"/>
    </row>
    <row r="8" spans="1:11" ht="40" customHeight="1">
      <c r="A8" s="21" t="s">
        <v>324</v>
      </c>
      <c r="B8" s="89"/>
      <c r="C8" s="90"/>
      <c r="D8" s="90"/>
      <c r="E8" s="90"/>
      <c r="F8" s="38" t="str">
        <f t="shared" si="0"/>
        <v/>
      </c>
      <c r="G8" s="39" t="str">
        <f t="shared" si="1"/>
        <v/>
      </c>
      <c r="H8" s="40" t="str">
        <f t="shared" si="2"/>
        <v/>
      </c>
      <c r="I8" s="89"/>
      <c r="J8" s="89"/>
      <c r="K8" s="21"/>
    </row>
    <row r="9" spans="1:11" ht="40" customHeight="1">
      <c r="A9" s="21" t="s">
        <v>325</v>
      </c>
      <c r="B9" s="89"/>
      <c r="C9" s="90"/>
      <c r="D9" s="90"/>
      <c r="E9" s="90"/>
      <c r="F9" s="38" t="str">
        <f t="shared" si="0"/>
        <v/>
      </c>
      <c r="G9" s="39" t="str">
        <f t="shared" si="1"/>
        <v/>
      </c>
      <c r="H9" s="40" t="str">
        <f t="shared" si="2"/>
        <v/>
      </c>
      <c r="I9" s="89"/>
      <c r="J9" s="89"/>
      <c r="K9" s="21"/>
    </row>
    <row r="10" spans="1:11" ht="40" customHeight="1">
      <c r="A10" s="21" t="s">
        <v>326</v>
      </c>
      <c r="B10" s="89"/>
      <c r="C10" s="90"/>
      <c r="D10" s="90"/>
      <c r="E10" s="90"/>
      <c r="F10" s="38" t="str">
        <f t="shared" si="0"/>
        <v/>
      </c>
      <c r="G10" s="39" t="str">
        <f t="shared" si="1"/>
        <v/>
      </c>
      <c r="H10" s="40" t="str">
        <f t="shared" si="2"/>
        <v/>
      </c>
      <c r="I10" s="89"/>
      <c r="J10" s="89"/>
      <c r="K10" s="21"/>
    </row>
    <row r="11" spans="1:11" ht="40" customHeight="1">
      <c r="A11" s="21" t="s">
        <v>327</v>
      </c>
      <c r="B11" s="89"/>
      <c r="C11" s="90"/>
      <c r="D11" s="90"/>
      <c r="E11" s="90"/>
      <c r="F11" s="38" t="str">
        <f t="shared" si="0"/>
        <v/>
      </c>
      <c r="G11" s="39" t="str">
        <f t="shared" si="1"/>
        <v/>
      </c>
      <c r="H11" s="40" t="str">
        <f t="shared" si="2"/>
        <v/>
      </c>
      <c r="I11" s="89"/>
      <c r="J11" s="89"/>
      <c r="K11" s="21"/>
    </row>
    <row r="12" spans="1:11" ht="40" customHeight="1">
      <c r="A12" s="21" t="s">
        <v>328</v>
      </c>
      <c r="B12" s="89"/>
      <c r="C12" s="90"/>
      <c r="D12" s="90"/>
      <c r="E12" s="90"/>
      <c r="F12" s="38" t="str">
        <f t="shared" si="0"/>
        <v/>
      </c>
      <c r="G12" s="39" t="str">
        <f t="shared" si="1"/>
        <v/>
      </c>
      <c r="H12" s="40" t="str">
        <f t="shared" si="2"/>
        <v/>
      </c>
      <c r="I12" s="89"/>
      <c r="J12" s="89"/>
      <c r="K12" s="21"/>
    </row>
    <row r="13" spans="1:11" ht="40" customHeight="1">
      <c r="A13" s="21" t="s">
        <v>329</v>
      </c>
      <c r="B13" s="89"/>
      <c r="C13" s="90"/>
      <c r="D13" s="90"/>
      <c r="E13" s="90"/>
      <c r="F13" s="38" t="str">
        <f t="shared" si="0"/>
        <v/>
      </c>
      <c r="G13" s="39" t="str">
        <f t="shared" si="1"/>
        <v/>
      </c>
      <c r="H13" s="40" t="str">
        <f t="shared" si="2"/>
        <v/>
      </c>
      <c r="I13" s="89"/>
      <c r="J13" s="89"/>
      <c r="K13" s="21"/>
    </row>
    <row r="14" spans="1:11" ht="40" customHeight="1">
      <c r="A14" s="21" t="s">
        <v>330</v>
      </c>
      <c r="B14" s="89"/>
      <c r="C14" s="90"/>
      <c r="D14" s="90"/>
      <c r="E14" s="90"/>
      <c r="F14" s="38" t="str">
        <f t="shared" si="0"/>
        <v/>
      </c>
      <c r="G14" s="39" t="str">
        <f t="shared" si="1"/>
        <v/>
      </c>
      <c r="H14" s="40" t="str">
        <f t="shared" si="2"/>
        <v/>
      </c>
      <c r="I14" s="89"/>
      <c r="J14" s="89"/>
      <c r="K14" s="21"/>
    </row>
    <row r="15" spans="1:11" ht="40" customHeight="1">
      <c r="A15" s="21" t="s">
        <v>331</v>
      </c>
      <c r="B15" s="89"/>
      <c r="C15" s="90"/>
      <c r="D15" s="90"/>
      <c r="E15" s="90"/>
      <c r="F15" s="38" t="str">
        <f t="shared" si="0"/>
        <v/>
      </c>
      <c r="G15" s="39" t="str">
        <f t="shared" si="1"/>
        <v/>
      </c>
      <c r="H15" s="40" t="str">
        <f t="shared" si="2"/>
        <v/>
      </c>
      <c r="I15" s="89"/>
      <c r="J15" s="89"/>
      <c r="K15" s="21"/>
    </row>
    <row r="16" spans="1:11" ht="40" customHeight="1">
      <c r="A16" s="21" t="s">
        <v>332</v>
      </c>
      <c r="B16" s="89"/>
      <c r="C16" s="90"/>
      <c r="D16" s="90"/>
      <c r="E16" s="90"/>
      <c r="F16" s="38" t="str">
        <f t="shared" si="0"/>
        <v/>
      </c>
      <c r="G16" s="39" t="str">
        <f t="shared" si="1"/>
        <v/>
      </c>
      <c r="H16" s="40" t="str">
        <f t="shared" si="2"/>
        <v/>
      </c>
      <c r="I16" s="89"/>
      <c r="J16" s="89"/>
      <c r="K16" s="21"/>
    </row>
    <row r="17" spans="1:11">
      <c r="A17" s="21"/>
      <c r="B17" s="21"/>
      <c r="C17" s="21"/>
      <c r="D17" s="21"/>
      <c r="E17" s="21"/>
      <c r="F17" s="21"/>
      <c r="G17" s="21"/>
      <c r="H17" s="21"/>
      <c r="I17" s="21"/>
      <c r="J17" s="21"/>
      <c r="K17" s="21"/>
    </row>
    <row r="18" spans="1:11">
      <c r="A18" s="21"/>
      <c r="B18" s="21"/>
      <c r="C18" s="21"/>
      <c r="D18" s="21"/>
      <c r="E18" s="21"/>
      <c r="F18" s="21"/>
      <c r="G18" s="21"/>
      <c r="H18" s="21"/>
      <c r="I18" s="21"/>
      <c r="J18" s="21"/>
      <c r="K18" s="21"/>
    </row>
    <row r="19" spans="1:11" ht="30" customHeight="1">
      <c r="A19" s="116" t="s">
        <v>333</v>
      </c>
      <c r="B19" s="116"/>
      <c r="C19" s="116"/>
      <c r="D19" s="116"/>
      <c r="E19" s="116"/>
      <c r="F19" s="116"/>
      <c r="G19" s="116"/>
      <c r="H19" s="116"/>
      <c r="I19" s="116"/>
      <c r="J19" s="116"/>
      <c r="K19" s="116"/>
    </row>
    <row r="20" spans="1:11" ht="46" customHeight="1">
      <c r="A20" s="36" t="s">
        <v>334</v>
      </c>
      <c r="B20" s="36" t="s">
        <v>314</v>
      </c>
      <c r="C20" s="36" t="s">
        <v>335</v>
      </c>
      <c r="D20" s="36" t="s">
        <v>108</v>
      </c>
      <c r="E20" s="36" t="s">
        <v>336</v>
      </c>
      <c r="F20" s="36" t="s">
        <v>337</v>
      </c>
      <c r="G20" s="36" t="s">
        <v>338</v>
      </c>
      <c r="H20" s="36" t="s">
        <v>339</v>
      </c>
      <c r="I20" s="36" t="s">
        <v>340</v>
      </c>
      <c r="J20" s="36" t="s">
        <v>341</v>
      </c>
      <c r="K20" s="36" t="s">
        <v>342</v>
      </c>
    </row>
    <row r="21" spans="1:11" ht="32" customHeight="1">
      <c r="A21" s="21">
        <v>1</v>
      </c>
      <c r="B21" s="89"/>
      <c r="C21" s="89"/>
      <c r="D21" s="40" t="str">
        <f t="shared" ref="D21:D84" si="3">IF(C21="","",IFERROR(LEFT(C21,FIND(" | ",C21)-1),"INVALID"))</f>
        <v/>
      </c>
      <c r="E21" s="91"/>
      <c r="F21" s="38">
        <f t="shared" ref="F21:F84" si="4">SUM(I21:K21)</f>
        <v>0</v>
      </c>
      <c r="G21" s="40" t="str">
        <f>IF(AND(B21="",C21="",E21=""),"",IF(OR(B21="",C21="",E21="",E21&lt;0,COUNTIF($A$5:$A$16,B21)=0,SUMIF($A$5:$A$16,B21,$F$5:$F$16)=0),"ERROR - INCOMPLETE",IF(COUNTIFS($B$21:B21,B21,$C$21:C21,C21)&gt;1,"ERROR - DUPLICATE",IF(COUNTIFS('08 Allocation Data'!$A$5:$A$34,D21,'08 Allocation Data'!$C$5:$C$34,"Yes")=0,"ERROR - INACTIVE","OK"))))</f>
        <v/>
      </c>
      <c r="H21" s="89"/>
      <c r="I21" s="38">
        <f t="shared" ref="I21:I84" si="5">IF(OR(B21="",C21="",E21=""),0,SUMIF($A$5:$A$16,B21,$C$5:$C$16)*E21)</f>
        <v>0</v>
      </c>
      <c r="J21" s="38">
        <f t="shared" ref="J21:J84" si="6">IF(OR(B21="",C21="",E21=""),0,SUMIF($A$5:$A$16,B21,$D$5:$D$16)*E21)</f>
        <v>0</v>
      </c>
      <c r="K21" s="38">
        <f t="shared" ref="K21:K84" si="7">IF(OR(B21="",C21="",E21=""),0,SUMIF($A$5:$A$16,B21,$E$5:$E$16)*E21)</f>
        <v>0</v>
      </c>
    </row>
    <row r="22" spans="1:11" ht="32" customHeight="1">
      <c r="A22" s="21">
        <v>2</v>
      </c>
      <c r="B22" s="89"/>
      <c r="C22" s="89"/>
      <c r="D22" s="40" t="str">
        <f t="shared" si="3"/>
        <v/>
      </c>
      <c r="E22" s="91"/>
      <c r="F22" s="38">
        <f t="shared" si="4"/>
        <v>0</v>
      </c>
      <c r="G22" s="40" t="str">
        <f>IF(AND(B22="",C22="",E22=""),"",IF(OR(B22="",C22="",E22="",E22&lt;0,COUNTIF($A$5:$A$16,B22)=0,SUMIF($A$5:$A$16,B22,$F$5:$F$16)=0),"ERROR - INCOMPLETE",IF(COUNTIFS($B$21:B22,B22,$C$21:C22,C22)&gt;1,"ERROR - DUPLICATE",IF(COUNTIFS('08 Allocation Data'!$A$5:$A$34,D22,'08 Allocation Data'!$C$5:$C$34,"Yes")=0,"ERROR - INACTIVE","OK"))))</f>
        <v/>
      </c>
      <c r="H22" s="89"/>
      <c r="I22" s="38">
        <f t="shared" si="5"/>
        <v>0</v>
      </c>
      <c r="J22" s="38">
        <f t="shared" si="6"/>
        <v>0</v>
      </c>
      <c r="K22" s="38">
        <f t="shared" si="7"/>
        <v>0</v>
      </c>
    </row>
    <row r="23" spans="1:11" ht="32" customHeight="1">
      <c r="A23" s="21">
        <v>3</v>
      </c>
      <c r="B23" s="89"/>
      <c r="C23" s="89"/>
      <c r="D23" s="40" t="str">
        <f t="shared" si="3"/>
        <v/>
      </c>
      <c r="E23" s="91"/>
      <c r="F23" s="38">
        <f t="shared" si="4"/>
        <v>0</v>
      </c>
      <c r="G23" s="40" t="str">
        <f>IF(AND(B23="",C23="",E23=""),"",IF(OR(B23="",C23="",E23="",E23&lt;0,COUNTIF($A$5:$A$16,B23)=0,SUMIF($A$5:$A$16,B23,$F$5:$F$16)=0),"ERROR - INCOMPLETE",IF(COUNTIFS($B$21:B23,B23,$C$21:C23,C23)&gt;1,"ERROR - DUPLICATE",IF(COUNTIFS('08 Allocation Data'!$A$5:$A$34,D23,'08 Allocation Data'!$C$5:$C$34,"Yes")=0,"ERROR - INACTIVE","OK"))))</f>
        <v/>
      </c>
      <c r="H23" s="89"/>
      <c r="I23" s="38">
        <f t="shared" si="5"/>
        <v>0</v>
      </c>
      <c r="J23" s="38">
        <f t="shared" si="6"/>
        <v>0</v>
      </c>
      <c r="K23" s="38">
        <f t="shared" si="7"/>
        <v>0</v>
      </c>
    </row>
    <row r="24" spans="1:11" ht="32" customHeight="1">
      <c r="A24" s="21">
        <v>4</v>
      </c>
      <c r="B24" s="89"/>
      <c r="C24" s="89"/>
      <c r="D24" s="40" t="str">
        <f t="shared" si="3"/>
        <v/>
      </c>
      <c r="E24" s="91"/>
      <c r="F24" s="38">
        <f t="shared" si="4"/>
        <v>0</v>
      </c>
      <c r="G24" s="40" t="str">
        <f>IF(AND(B24="",C24="",E24=""),"",IF(OR(B24="",C24="",E24="",E24&lt;0,COUNTIF($A$5:$A$16,B24)=0,SUMIF($A$5:$A$16,B24,$F$5:$F$16)=0),"ERROR - INCOMPLETE",IF(COUNTIFS($B$21:B24,B24,$C$21:C24,C24)&gt;1,"ERROR - DUPLICATE",IF(COUNTIFS('08 Allocation Data'!$A$5:$A$34,D24,'08 Allocation Data'!$C$5:$C$34,"Yes")=0,"ERROR - INACTIVE","OK"))))</f>
        <v/>
      </c>
      <c r="H24" s="89"/>
      <c r="I24" s="38">
        <f t="shared" si="5"/>
        <v>0</v>
      </c>
      <c r="J24" s="38">
        <f t="shared" si="6"/>
        <v>0</v>
      </c>
      <c r="K24" s="38">
        <f t="shared" si="7"/>
        <v>0</v>
      </c>
    </row>
    <row r="25" spans="1:11" ht="32" customHeight="1">
      <c r="A25" s="21">
        <v>5</v>
      </c>
      <c r="B25" s="89"/>
      <c r="C25" s="89"/>
      <c r="D25" s="40" t="str">
        <f t="shared" si="3"/>
        <v/>
      </c>
      <c r="E25" s="91"/>
      <c r="F25" s="38">
        <f t="shared" si="4"/>
        <v>0</v>
      </c>
      <c r="G25" s="40" t="str">
        <f>IF(AND(B25="",C25="",E25=""),"",IF(OR(B25="",C25="",E25="",E25&lt;0,COUNTIF($A$5:$A$16,B25)=0,SUMIF($A$5:$A$16,B25,$F$5:$F$16)=0),"ERROR - INCOMPLETE",IF(COUNTIFS($B$21:B25,B25,$C$21:C25,C25)&gt;1,"ERROR - DUPLICATE",IF(COUNTIFS('08 Allocation Data'!$A$5:$A$34,D25,'08 Allocation Data'!$C$5:$C$34,"Yes")=0,"ERROR - INACTIVE","OK"))))</f>
        <v/>
      </c>
      <c r="H25" s="89"/>
      <c r="I25" s="38">
        <f t="shared" si="5"/>
        <v>0</v>
      </c>
      <c r="J25" s="38">
        <f t="shared" si="6"/>
        <v>0</v>
      </c>
      <c r="K25" s="38">
        <f t="shared" si="7"/>
        <v>0</v>
      </c>
    </row>
    <row r="26" spans="1:11" ht="32" customHeight="1">
      <c r="A26" s="21">
        <v>6</v>
      </c>
      <c r="B26" s="89"/>
      <c r="C26" s="89"/>
      <c r="D26" s="40" t="str">
        <f t="shared" si="3"/>
        <v/>
      </c>
      <c r="E26" s="91"/>
      <c r="F26" s="38">
        <f t="shared" si="4"/>
        <v>0</v>
      </c>
      <c r="G26" s="40" t="str">
        <f>IF(AND(B26="",C26="",E26=""),"",IF(OR(B26="",C26="",E26="",E26&lt;0,COUNTIF($A$5:$A$16,B26)=0,SUMIF($A$5:$A$16,B26,$F$5:$F$16)=0),"ERROR - INCOMPLETE",IF(COUNTIFS($B$21:B26,B26,$C$21:C26,C26)&gt;1,"ERROR - DUPLICATE",IF(COUNTIFS('08 Allocation Data'!$A$5:$A$34,D26,'08 Allocation Data'!$C$5:$C$34,"Yes")=0,"ERROR - INACTIVE","OK"))))</f>
        <v/>
      </c>
      <c r="H26" s="89"/>
      <c r="I26" s="38">
        <f t="shared" si="5"/>
        <v>0</v>
      </c>
      <c r="J26" s="38">
        <f t="shared" si="6"/>
        <v>0</v>
      </c>
      <c r="K26" s="38">
        <f t="shared" si="7"/>
        <v>0</v>
      </c>
    </row>
    <row r="27" spans="1:11" ht="32" customHeight="1">
      <c r="A27" s="21">
        <v>7</v>
      </c>
      <c r="B27" s="89"/>
      <c r="C27" s="89"/>
      <c r="D27" s="40" t="str">
        <f t="shared" si="3"/>
        <v/>
      </c>
      <c r="E27" s="91"/>
      <c r="F27" s="38">
        <f t="shared" si="4"/>
        <v>0</v>
      </c>
      <c r="G27" s="40" t="str">
        <f>IF(AND(B27="",C27="",E27=""),"",IF(OR(B27="",C27="",E27="",E27&lt;0,COUNTIF($A$5:$A$16,B27)=0,SUMIF($A$5:$A$16,B27,$F$5:$F$16)=0),"ERROR - INCOMPLETE",IF(COUNTIFS($B$21:B27,B27,$C$21:C27,C27)&gt;1,"ERROR - DUPLICATE",IF(COUNTIFS('08 Allocation Data'!$A$5:$A$34,D27,'08 Allocation Data'!$C$5:$C$34,"Yes")=0,"ERROR - INACTIVE","OK"))))</f>
        <v/>
      </c>
      <c r="H27" s="89"/>
      <c r="I27" s="38">
        <f t="shared" si="5"/>
        <v>0</v>
      </c>
      <c r="J27" s="38">
        <f t="shared" si="6"/>
        <v>0</v>
      </c>
      <c r="K27" s="38">
        <f t="shared" si="7"/>
        <v>0</v>
      </c>
    </row>
    <row r="28" spans="1:11" ht="32" customHeight="1">
      <c r="A28" s="21">
        <v>8</v>
      </c>
      <c r="B28" s="89"/>
      <c r="C28" s="89"/>
      <c r="D28" s="40" t="str">
        <f t="shared" si="3"/>
        <v/>
      </c>
      <c r="E28" s="91"/>
      <c r="F28" s="38">
        <f t="shared" si="4"/>
        <v>0</v>
      </c>
      <c r="G28" s="40" t="str">
        <f>IF(AND(B28="",C28="",E28=""),"",IF(OR(B28="",C28="",E28="",E28&lt;0,COUNTIF($A$5:$A$16,B28)=0,SUMIF($A$5:$A$16,B28,$F$5:$F$16)=0),"ERROR - INCOMPLETE",IF(COUNTIFS($B$21:B28,B28,$C$21:C28,C28)&gt;1,"ERROR - DUPLICATE",IF(COUNTIFS('08 Allocation Data'!$A$5:$A$34,D28,'08 Allocation Data'!$C$5:$C$34,"Yes")=0,"ERROR - INACTIVE","OK"))))</f>
        <v/>
      </c>
      <c r="H28" s="89"/>
      <c r="I28" s="38">
        <f t="shared" si="5"/>
        <v>0</v>
      </c>
      <c r="J28" s="38">
        <f t="shared" si="6"/>
        <v>0</v>
      </c>
      <c r="K28" s="38">
        <f t="shared" si="7"/>
        <v>0</v>
      </c>
    </row>
    <row r="29" spans="1:11" ht="32" customHeight="1">
      <c r="A29" s="21">
        <v>9</v>
      </c>
      <c r="B29" s="89"/>
      <c r="C29" s="89"/>
      <c r="D29" s="40" t="str">
        <f t="shared" si="3"/>
        <v/>
      </c>
      <c r="E29" s="91"/>
      <c r="F29" s="38">
        <f t="shared" si="4"/>
        <v>0</v>
      </c>
      <c r="G29" s="40" t="str">
        <f>IF(AND(B29="",C29="",E29=""),"",IF(OR(B29="",C29="",E29="",E29&lt;0,COUNTIF($A$5:$A$16,B29)=0,SUMIF($A$5:$A$16,B29,$F$5:$F$16)=0),"ERROR - INCOMPLETE",IF(COUNTIFS($B$21:B29,B29,$C$21:C29,C29)&gt;1,"ERROR - DUPLICATE",IF(COUNTIFS('08 Allocation Data'!$A$5:$A$34,D29,'08 Allocation Data'!$C$5:$C$34,"Yes")=0,"ERROR - INACTIVE","OK"))))</f>
        <v/>
      </c>
      <c r="H29" s="89"/>
      <c r="I29" s="38">
        <f t="shared" si="5"/>
        <v>0</v>
      </c>
      <c r="J29" s="38">
        <f t="shared" si="6"/>
        <v>0</v>
      </c>
      <c r="K29" s="38">
        <f t="shared" si="7"/>
        <v>0</v>
      </c>
    </row>
    <row r="30" spans="1:11" ht="32" customHeight="1">
      <c r="A30" s="21">
        <v>10</v>
      </c>
      <c r="B30" s="89"/>
      <c r="C30" s="89"/>
      <c r="D30" s="40" t="str">
        <f t="shared" si="3"/>
        <v/>
      </c>
      <c r="E30" s="91"/>
      <c r="F30" s="38">
        <f t="shared" si="4"/>
        <v>0</v>
      </c>
      <c r="G30" s="40" t="str">
        <f>IF(AND(B30="",C30="",E30=""),"",IF(OR(B30="",C30="",E30="",E30&lt;0,COUNTIF($A$5:$A$16,B30)=0,SUMIF($A$5:$A$16,B30,$F$5:$F$16)=0),"ERROR - INCOMPLETE",IF(COUNTIFS($B$21:B30,B30,$C$21:C30,C30)&gt;1,"ERROR - DUPLICATE",IF(COUNTIFS('08 Allocation Data'!$A$5:$A$34,D30,'08 Allocation Data'!$C$5:$C$34,"Yes")=0,"ERROR - INACTIVE","OK"))))</f>
        <v/>
      </c>
      <c r="H30" s="89"/>
      <c r="I30" s="38">
        <f t="shared" si="5"/>
        <v>0</v>
      </c>
      <c r="J30" s="38">
        <f t="shared" si="6"/>
        <v>0</v>
      </c>
      <c r="K30" s="38">
        <f t="shared" si="7"/>
        <v>0</v>
      </c>
    </row>
    <row r="31" spans="1:11" ht="32" customHeight="1">
      <c r="A31" s="21">
        <v>11</v>
      </c>
      <c r="B31" s="89"/>
      <c r="C31" s="89"/>
      <c r="D31" s="40" t="str">
        <f t="shared" si="3"/>
        <v/>
      </c>
      <c r="E31" s="91"/>
      <c r="F31" s="38">
        <f t="shared" si="4"/>
        <v>0</v>
      </c>
      <c r="G31" s="40" t="str">
        <f>IF(AND(B31="",C31="",E31=""),"",IF(OR(B31="",C31="",E31="",E31&lt;0,COUNTIF($A$5:$A$16,B31)=0,SUMIF($A$5:$A$16,B31,$F$5:$F$16)=0),"ERROR - INCOMPLETE",IF(COUNTIFS($B$21:B31,B31,$C$21:C31,C31)&gt;1,"ERROR - DUPLICATE",IF(COUNTIFS('08 Allocation Data'!$A$5:$A$34,D31,'08 Allocation Data'!$C$5:$C$34,"Yes")=0,"ERROR - INACTIVE","OK"))))</f>
        <v/>
      </c>
      <c r="H31" s="89"/>
      <c r="I31" s="38">
        <f t="shared" si="5"/>
        <v>0</v>
      </c>
      <c r="J31" s="38">
        <f t="shared" si="6"/>
        <v>0</v>
      </c>
      <c r="K31" s="38">
        <f t="shared" si="7"/>
        <v>0</v>
      </c>
    </row>
    <row r="32" spans="1:11" ht="32" customHeight="1">
      <c r="A32" s="21">
        <v>12</v>
      </c>
      <c r="B32" s="89"/>
      <c r="C32" s="89"/>
      <c r="D32" s="40" t="str">
        <f t="shared" si="3"/>
        <v/>
      </c>
      <c r="E32" s="91"/>
      <c r="F32" s="38">
        <f t="shared" si="4"/>
        <v>0</v>
      </c>
      <c r="G32" s="40" t="str">
        <f>IF(AND(B32="",C32="",E32=""),"",IF(OR(B32="",C32="",E32="",E32&lt;0,COUNTIF($A$5:$A$16,B32)=0,SUMIF($A$5:$A$16,B32,$F$5:$F$16)=0),"ERROR - INCOMPLETE",IF(COUNTIFS($B$21:B32,B32,$C$21:C32,C32)&gt;1,"ERROR - DUPLICATE",IF(COUNTIFS('08 Allocation Data'!$A$5:$A$34,D32,'08 Allocation Data'!$C$5:$C$34,"Yes")=0,"ERROR - INACTIVE","OK"))))</f>
        <v/>
      </c>
      <c r="H32" s="89"/>
      <c r="I32" s="38">
        <f t="shared" si="5"/>
        <v>0</v>
      </c>
      <c r="J32" s="38">
        <f t="shared" si="6"/>
        <v>0</v>
      </c>
      <c r="K32" s="38">
        <f t="shared" si="7"/>
        <v>0</v>
      </c>
    </row>
    <row r="33" spans="1:11" ht="32" customHeight="1">
      <c r="A33" s="21">
        <v>13</v>
      </c>
      <c r="B33" s="89"/>
      <c r="C33" s="89"/>
      <c r="D33" s="40" t="str">
        <f t="shared" si="3"/>
        <v/>
      </c>
      <c r="E33" s="91"/>
      <c r="F33" s="38">
        <f t="shared" si="4"/>
        <v>0</v>
      </c>
      <c r="G33" s="40" t="str">
        <f>IF(AND(B33="",C33="",E33=""),"",IF(OR(B33="",C33="",E33="",E33&lt;0,COUNTIF($A$5:$A$16,B33)=0,SUMIF($A$5:$A$16,B33,$F$5:$F$16)=0),"ERROR - INCOMPLETE",IF(COUNTIFS($B$21:B33,B33,$C$21:C33,C33)&gt;1,"ERROR - DUPLICATE",IF(COUNTIFS('08 Allocation Data'!$A$5:$A$34,D33,'08 Allocation Data'!$C$5:$C$34,"Yes")=0,"ERROR - INACTIVE","OK"))))</f>
        <v/>
      </c>
      <c r="H33" s="89"/>
      <c r="I33" s="38">
        <f t="shared" si="5"/>
        <v>0</v>
      </c>
      <c r="J33" s="38">
        <f t="shared" si="6"/>
        <v>0</v>
      </c>
      <c r="K33" s="38">
        <f t="shared" si="7"/>
        <v>0</v>
      </c>
    </row>
    <row r="34" spans="1:11" ht="32" customHeight="1">
      <c r="A34" s="21">
        <v>14</v>
      </c>
      <c r="B34" s="89"/>
      <c r="C34" s="89"/>
      <c r="D34" s="40" t="str">
        <f t="shared" si="3"/>
        <v/>
      </c>
      <c r="E34" s="91"/>
      <c r="F34" s="38">
        <f t="shared" si="4"/>
        <v>0</v>
      </c>
      <c r="G34" s="40" t="str">
        <f>IF(AND(B34="",C34="",E34=""),"",IF(OR(B34="",C34="",E34="",E34&lt;0,COUNTIF($A$5:$A$16,B34)=0,SUMIF($A$5:$A$16,B34,$F$5:$F$16)=0),"ERROR - INCOMPLETE",IF(COUNTIFS($B$21:B34,B34,$C$21:C34,C34)&gt;1,"ERROR - DUPLICATE",IF(COUNTIFS('08 Allocation Data'!$A$5:$A$34,D34,'08 Allocation Data'!$C$5:$C$34,"Yes")=0,"ERROR - INACTIVE","OK"))))</f>
        <v/>
      </c>
      <c r="H34" s="89"/>
      <c r="I34" s="38">
        <f t="shared" si="5"/>
        <v>0</v>
      </c>
      <c r="J34" s="38">
        <f t="shared" si="6"/>
        <v>0</v>
      </c>
      <c r="K34" s="38">
        <f t="shared" si="7"/>
        <v>0</v>
      </c>
    </row>
    <row r="35" spans="1:11" ht="32" customHeight="1">
      <c r="A35" s="21">
        <v>15</v>
      </c>
      <c r="B35" s="89"/>
      <c r="C35" s="89"/>
      <c r="D35" s="40" t="str">
        <f t="shared" si="3"/>
        <v/>
      </c>
      <c r="E35" s="91"/>
      <c r="F35" s="38">
        <f t="shared" si="4"/>
        <v>0</v>
      </c>
      <c r="G35" s="40" t="str">
        <f>IF(AND(B35="",C35="",E35=""),"",IF(OR(B35="",C35="",E35="",E35&lt;0,COUNTIF($A$5:$A$16,B35)=0,SUMIF($A$5:$A$16,B35,$F$5:$F$16)=0),"ERROR - INCOMPLETE",IF(COUNTIFS($B$21:B35,B35,$C$21:C35,C35)&gt;1,"ERROR - DUPLICATE",IF(COUNTIFS('08 Allocation Data'!$A$5:$A$34,D35,'08 Allocation Data'!$C$5:$C$34,"Yes")=0,"ERROR - INACTIVE","OK"))))</f>
        <v/>
      </c>
      <c r="H35" s="89"/>
      <c r="I35" s="38">
        <f t="shared" si="5"/>
        <v>0</v>
      </c>
      <c r="J35" s="38">
        <f t="shared" si="6"/>
        <v>0</v>
      </c>
      <c r="K35" s="38">
        <f t="shared" si="7"/>
        <v>0</v>
      </c>
    </row>
    <row r="36" spans="1:11" ht="32" customHeight="1">
      <c r="A36" s="21">
        <v>16</v>
      </c>
      <c r="B36" s="89"/>
      <c r="C36" s="89"/>
      <c r="D36" s="40" t="str">
        <f t="shared" si="3"/>
        <v/>
      </c>
      <c r="E36" s="91"/>
      <c r="F36" s="38">
        <f t="shared" si="4"/>
        <v>0</v>
      </c>
      <c r="G36" s="40" t="str">
        <f>IF(AND(B36="",C36="",E36=""),"",IF(OR(B36="",C36="",E36="",E36&lt;0,COUNTIF($A$5:$A$16,B36)=0,SUMIF($A$5:$A$16,B36,$F$5:$F$16)=0),"ERROR - INCOMPLETE",IF(COUNTIFS($B$21:B36,B36,$C$21:C36,C36)&gt;1,"ERROR - DUPLICATE",IF(COUNTIFS('08 Allocation Data'!$A$5:$A$34,D36,'08 Allocation Data'!$C$5:$C$34,"Yes")=0,"ERROR - INACTIVE","OK"))))</f>
        <v/>
      </c>
      <c r="H36" s="89"/>
      <c r="I36" s="38">
        <f t="shared" si="5"/>
        <v>0</v>
      </c>
      <c r="J36" s="38">
        <f t="shared" si="6"/>
        <v>0</v>
      </c>
      <c r="K36" s="38">
        <f t="shared" si="7"/>
        <v>0</v>
      </c>
    </row>
    <row r="37" spans="1:11" ht="32" customHeight="1">
      <c r="A37" s="21">
        <v>17</v>
      </c>
      <c r="B37" s="89"/>
      <c r="C37" s="89"/>
      <c r="D37" s="40" t="str">
        <f t="shared" si="3"/>
        <v/>
      </c>
      <c r="E37" s="91"/>
      <c r="F37" s="38">
        <f t="shared" si="4"/>
        <v>0</v>
      </c>
      <c r="G37" s="40" t="str">
        <f>IF(AND(B37="",C37="",E37=""),"",IF(OR(B37="",C37="",E37="",E37&lt;0,COUNTIF($A$5:$A$16,B37)=0,SUMIF($A$5:$A$16,B37,$F$5:$F$16)=0),"ERROR - INCOMPLETE",IF(COUNTIFS($B$21:B37,B37,$C$21:C37,C37)&gt;1,"ERROR - DUPLICATE",IF(COUNTIFS('08 Allocation Data'!$A$5:$A$34,D37,'08 Allocation Data'!$C$5:$C$34,"Yes")=0,"ERROR - INACTIVE","OK"))))</f>
        <v/>
      </c>
      <c r="H37" s="89"/>
      <c r="I37" s="38">
        <f t="shared" si="5"/>
        <v>0</v>
      </c>
      <c r="J37" s="38">
        <f t="shared" si="6"/>
        <v>0</v>
      </c>
      <c r="K37" s="38">
        <f t="shared" si="7"/>
        <v>0</v>
      </c>
    </row>
    <row r="38" spans="1:11" ht="32" customHeight="1">
      <c r="A38" s="21">
        <v>18</v>
      </c>
      <c r="B38" s="89"/>
      <c r="C38" s="89"/>
      <c r="D38" s="40" t="str">
        <f t="shared" si="3"/>
        <v/>
      </c>
      <c r="E38" s="91"/>
      <c r="F38" s="38">
        <f t="shared" si="4"/>
        <v>0</v>
      </c>
      <c r="G38" s="40" t="str">
        <f>IF(AND(B38="",C38="",E38=""),"",IF(OR(B38="",C38="",E38="",E38&lt;0,COUNTIF($A$5:$A$16,B38)=0,SUMIF($A$5:$A$16,B38,$F$5:$F$16)=0),"ERROR - INCOMPLETE",IF(COUNTIFS($B$21:B38,B38,$C$21:C38,C38)&gt;1,"ERROR - DUPLICATE",IF(COUNTIFS('08 Allocation Data'!$A$5:$A$34,D38,'08 Allocation Data'!$C$5:$C$34,"Yes")=0,"ERROR - INACTIVE","OK"))))</f>
        <v/>
      </c>
      <c r="H38" s="89"/>
      <c r="I38" s="38">
        <f t="shared" si="5"/>
        <v>0</v>
      </c>
      <c r="J38" s="38">
        <f t="shared" si="6"/>
        <v>0</v>
      </c>
      <c r="K38" s="38">
        <f t="shared" si="7"/>
        <v>0</v>
      </c>
    </row>
    <row r="39" spans="1:11" ht="32" customHeight="1">
      <c r="A39" s="21">
        <v>19</v>
      </c>
      <c r="B39" s="89"/>
      <c r="C39" s="89"/>
      <c r="D39" s="40" t="str">
        <f t="shared" si="3"/>
        <v/>
      </c>
      <c r="E39" s="91"/>
      <c r="F39" s="38">
        <f t="shared" si="4"/>
        <v>0</v>
      </c>
      <c r="G39" s="40" t="str">
        <f>IF(AND(B39="",C39="",E39=""),"",IF(OR(B39="",C39="",E39="",E39&lt;0,COUNTIF($A$5:$A$16,B39)=0,SUMIF($A$5:$A$16,B39,$F$5:$F$16)=0),"ERROR - INCOMPLETE",IF(COUNTIFS($B$21:B39,B39,$C$21:C39,C39)&gt;1,"ERROR - DUPLICATE",IF(COUNTIFS('08 Allocation Data'!$A$5:$A$34,D39,'08 Allocation Data'!$C$5:$C$34,"Yes")=0,"ERROR - INACTIVE","OK"))))</f>
        <v/>
      </c>
      <c r="H39" s="89"/>
      <c r="I39" s="38">
        <f t="shared" si="5"/>
        <v>0</v>
      </c>
      <c r="J39" s="38">
        <f t="shared" si="6"/>
        <v>0</v>
      </c>
      <c r="K39" s="38">
        <f t="shared" si="7"/>
        <v>0</v>
      </c>
    </row>
    <row r="40" spans="1:11" ht="32" customHeight="1">
      <c r="A40" s="21">
        <v>20</v>
      </c>
      <c r="B40" s="89"/>
      <c r="C40" s="89"/>
      <c r="D40" s="40" t="str">
        <f t="shared" si="3"/>
        <v/>
      </c>
      <c r="E40" s="91"/>
      <c r="F40" s="38">
        <f t="shared" si="4"/>
        <v>0</v>
      </c>
      <c r="G40" s="40" t="str">
        <f>IF(AND(B40="",C40="",E40=""),"",IF(OR(B40="",C40="",E40="",E40&lt;0,COUNTIF($A$5:$A$16,B40)=0,SUMIF($A$5:$A$16,B40,$F$5:$F$16)=0),"ERROR - INCOMPLETE",IF(COUNTIFS($B$21:B40,B40,$C$21:C40,C40)&gt;1,"ERROR - DUPLICATE",IF(COUNTIFS('08 Allocation Data'!$A$5:$A$34,D40,'08 Allocation Data'!$C$5:$C$34,"Yes")=0,"ERROR - INACTIVE","OK"))))</f>
        <v/>
      </c>
      <c r="H40" s="89"/>
      <c r="I40" s="38">
        <f t="shared" si="5"/>
        <v>0</v>
      </c>
      <c r="J40" s="38">
        <f t="shared" si="6"/>
        <v>0</v>
      </c>
      <c r="K40" s="38">
        <f t="shared" si="7"/>
        <v>0</v>
      </c>
    </row>
    <row r="41" spans="1:11" ht="32" customHeight="1">
      <c r="A41" s="21">
        <v>21</v>
      </c>
      <c r="B41" s="89"/>
      <c r="C41" s="89"/>
      <c r="D41" s="40" t="str">
        <f t="shared" si="3"/>
        <v/>
      </c>
      <c r="E41" s="91"/>
      <c r="F41" s="38">
        <f t="shared" si="4"/>
        <v>0</v>
      </c>
      <c r="G41" s="40" t="str">
        <f>IF(AND(B41="",C41="",E41=""),"",IF(OR(B41="",C41="",E41="",E41&lt;0,COUNTIF($A$5:$A$16,B41)=0,SUMIF($A$5:$A$16,B41,$F$5:$F$16)=0),"ERROR - INCOMPLETE",IF(COUNTIFS($B$21:B41,B41,$C$21:C41,C41)&gt;1,"ERROR - DUPLICATE",IF(COUNTIFS('08 Allocation Data'!$A$5:$A$34,D41,'08 Allocation Data'!$C$5:$C$34,"Yes")=0,"ERROR - INACTIVE","OK"))))</f>
        <v/>
      </c>
      <c r="H41" s="89"/>
      <c r="I41" s="38">
        <f t="shared" si="5"/>
        <v>0</v>
      </c>
      <c r="J41" s="38">
        <f t="shared" si="6"/>
        <v>0</v>
      </c>
      <c r="K41" s="38">
        <f t="shared" si="7"/>
        <v>0</v>
      </c>
    </row>
    <row r="42" spans="1:11" ht="32" customHeight="1">
      <c r="A42" s="21">
        <v>22</v>
      </c>
      <c r="B42" s="89"/>
      <c r="C42" s="89"/>
      <c r="D42" s="40" t="str">
        <f t="shared" si="3"/>
        <v/>
      </c>
      <c r="E42" s="91"/>
      <c r="F42" s="38">
        <f t="shared" si="4"/>
        <v>0</v>
      </c>
      <c r="G42" s="40" t="str">
        <f>IF(AND(B42="",C42="",E42=""),"",IF(OR(B42="",C42="",E42="",E42&lt;0,COUNTIF($A$5:$A$16,B42)=0,SUMIF($A$5:$A$16,B42,$F$5:$F$16)=0),"ERROR - INCOMPLETE",IF(COUNTIFS($B$21:B42,B42,$C$21:C42,C42)&gt;1,"ERROR - DUPLICATE",IF(COUNTIFS('08 Allocation Data'!$A$5:$A$34,D42,'08 Allocation Data'!$C$5:$C$34,"Yes")=0,"ERROR - INACTIVE","OK"))))</f>
        <v/>
      </c>
      <c r="H42" s="89"/>
      <c r="I42" s="38">
        <f t="shared" si="5"/>
        <v>0</v>
      </c>
      <c r="J42" s="38">
        <f t="shared" si="6"/>
        <v>0</v>
      </c>
      <c r="K42" s="38">
        <f t="shared" si="7"/>
        <v>0</v>
      </c>
    </row>
    <row r="43" spans="1:11" ht="32" customHeight="1">
      <c r="A43" s="21">
        <v>23</v>
      </c>
      <c r="B43" s="89"/>
      <c r="C43" s="89"/>
      <c r="D43" s="40" t="str">
        <f t="shared" si="3"/>
        <v/>
      </c>
      <c r="E43" s="91"/>
      <c r="F43" s="38">
        <f t="shared" si="4"/>
        <v>0</v>
      </c>
      <c r="G43" s="40" t="str">
        <f>IF(AND(B43="",C43="",E43=""),"",IF(OR(B43="",C43="",E43="",E43&lt;0,COUNTIF($A$5:$A$16,B43)=0,SUMIF($A$5:$A$16,B43,$F$5:$F$16)=0),"ERROR - INCOMPLETE",IF(COUNTIFS($B$21:B43,B43,$C$21:C43,C43)&gt;1,"ERROR - DUPLICATE",IF(COUNTIFS('08 Allocation Data'!$A$5:$A$34,D43,'08 Allocation Data'!$C$5:$C$34,"Yes")=0,"ERROR - INACTIVE","OK"))))</f>
        <v/>
      </c>
      <c r="H43" s="89"/>
      <c r="I43" s="38">
        <f t="shared" si="5"/>
        <v>0</v>
      </c>
      <c r="J43" s="38">
        <f t="shared" si="6"/>
        <v>0</v>
      </c>
      <c r="K43" s="38">
        <f t="shared" si="7"/>
        <v>0</v>
      </c>
    </row>
    <row r="44" spans="1:11" ht="32" customHeight="1">
      <c r="A44" s="21">
        <v>24</v>
      </c>
      <c r="B44" s="89"/>
      <c r="C44" s="89"/>
      <c r="D44" s="40" t="str">
        <f t="shared" si="3"/>
        <v/>
      </c>
      <c r="E44" s="91"/>
      <c r="F44" s="38">
        <f t="shared" si="4"/>
        <v>0</v>
      </c>
      <c r="G44" s="40" t="str">
        <f>IF(AND(B44="",C44="",E44=""),"",IF(OR(B44="",C44="",E44="",E44&lt;0,COUNTIF($A$5:$A$16,B44)=0,SUMIF($A$5:$A$16,B44,$F$5:$F$16)=0),"ERROR - INCOMPLETE",IF(COUNTIFS($B$21:B44,B44,$C$21:C44,C44)&gt;1,"ERROR - DUPLICATE",IF(COUNTIFS('08 Allocation Data'!$A$5:$A$34,D44,'08 Allocation Data'!$C$5:$C$34,"Yes")=0,"ERROR - INACTIVE","OK"))))</f>
        <v/>
      </c>
      <c r="H44" s="89"/>
      <c r="I44" s="38">
        <f t="shared" si="5"/>
        <v>0</v>
      </c>
      <c r="J44" s="38">
        <f t="shared" si="6"/>
        <v>0</v>
      </c>
      <c r="K44" s="38">
        <f t="shared" si="7"/>
        <v>0</v>
      </c>
    </row>
    <row r="45" spans="1:11" ht="32" customHeight="1">
      <c r="A45" s="21">
        <v>25</v>
      </c>
      <c r="B45" s="89"/>
      <c r="C45" s="89"/>
      <c r="D45" s="40" t="str">
        <f t="shared" si="3"/>
        <v/>
      </c>
      <c r="E45" s="91"/>
      <c r="F45" s="38">
        <f t="shared" si="4"/>
        <v>0</v>
      </c>
      <c r="G45" s="40" t="str">
        <f>IF(AND(B45="",C45="",E45=""),"",IF(OR(B45="",C45="",E45="",E45&lt;0,COUNTIF($A$5:$A$16,B45)=0,SUMIF($A$5:$A$16,B45,$F$5:$F$16)=0),"ERROR - INCOMPLETE",IF(COUNTIFS($B$21:B45,B45,$C$21:C45,C45)&gt;1,"ERROR - DUPLICATE",IF(COUNTIFS('08 Allocation Data'!$A$5:$A$34,D45,'08 Allocation Data'!$C$5:$C$34,"Yes")=0,"ERROR - INACTIVE","OK"))))</f>
        <v/>
      </c>
      <c r="H45" s="89"/>
      <c r="I45" s="38">
        <f t="shared" si="5"/>
        <v>0</v>
      </c>
      <c r="J45" s="38">
        <f t="shared" si="6"/>
        <v>0</v>
      </c>
      <c r="K45" s="38">
        <f t="shared" si="7"/>
        <v>0</v>
      </c>
    </row>
    <row r="46" spans="1:11" ht="32" customHeight="1">
      <c r="A46" s="21">
        <v>26</v>
      </c>
      <c r="B46" s="89"/>
      <c r="C46" s="89"/>
      <c r="D46" s="40" t="str">
        <f t="shared" si="3"/>
        <v/>
      </c>
      <c r="E46" s="91"/>
      <c r="F46" s="38">
        <f t="shared" si="4"/>
        <v>0</v>
      </c>
      <c r="G46" s="40" t="str">
        <f>IF(AND(B46="",C46="",E46=""),"",IF(OR(B46="",C46="",E46="",E46&lt;0,COUNTIF($A$5:$A$16,B46)=0,SUMIF($A$5:$A$16,B46,$F$5:$F$16)=0),"ERROR - INCOMPLETE",IF(COUNTIFS($B$21:B46,B46,$C$21:C46,C46)&gt;1,"ERROR - DUPLICATE",IF(COUNTIFS('08 Allocation Data'!$A$5:$A$34,D46,'08 Allocation Data'!$C$5:$C$34,"Yes")=0,"ERROR - INACTIVE","OK"))))</f>
        <v/>
      </c>
      <c r="H46" s="89"/>
      <c r="I46" s="38">
        <f t="shared" si="5"/>
        <v>0</v>
      </c>
      <c r="J46" s="38">
        <f t="shared" si="6"/>
        <v>0</v>
      </c>
      <c r="K46" s="38">
        <f t="shared" si="7"/>
        <v>0</v>
      </c>
    </row>
    <row r="47" spans="1:11" ht="32" customHeight="1">
      <c r="A47" s="21">
        <v>27</v>
      </c>
      <c r="B47" s="89"/>
      <c r="C47" s="89"/>
      <c r="D47" s="40" t="str">
        <f t="shared" si="3"/>
        <v/>
      </c>
      <c r="E47" s="91"/>
      <c r="F47" s="38">
        <f t="shared" si="4"/>
        <v>0</v>
      </c>
      <c r="G47" s="40" t="str">
        <f>IF(AND(B47="",C47="",E47=""),"",IF(OR(B47="",C47="",E47="",E47&lt;0,COUNTIF($A$5:$A$16,B47)=0,SUMIF($A$5:$A$16,B47,$F$5:$F$16)=0),"ERROR - INCOMPLETE",IF(COUNTIFS($B$21:B47,B47,$C$21:C47,C47)&gt;1,"ERROR - DUPLICATE",IF(COUNTIFS('08 Allocation Data'!$A$5:$A$34,D47,'08 Allocation Data'!$C$5:$C$34,"Yes")=0,"ERROR - INACTIVE","OK"))))</f>
        <v/>
      </c>
      <c r="H47" s="89"/>
      <c r="I47" s="38">
        <f t="shared" si="5"/>
        <v>0</v>
      </c>
      <c r="J47" s="38">
        <f t="shared" si="6"/>
        <v>0</v>
      </c>
      <c r="K47" s="38">
        <f t="shared" si="7"/>
        <v>0</v>
      </c>
    </row>
    <row r="48" spans="1:11" ht="32" customHeight="1">
      <c r="A48" s="21">
        <v>28</v>
      </c>
      <c r="B48" s="89"/>
      <c r="C48" s="89"/>
      <c r="D48" s="40" t="str">
        <f t="shared" si="3"/>
        <v/>
      </c>
      <c r="E48" s="91"/>
      <c r="F48" s="38">
        <f t="shared" si="4"/>
        <v>0</v>
      </c>
      <c r="G48" s="40" t="str">
        <f>IF(AND(B48="",C48="",E48=""),"",IF(OR(B48="",C48="",E48="",E48&lt;0,COUNTIF($A$5:$A$16,B48)=0,SUMIF($A$5:$A$16,B48,$F$5:$F$16)=0),"ERROR - INCOMPLETE",IF(COUNTIFS($B$21:B48,B48,$C$21:C48,C48)&gt;1,"ERROR - DUPLICATE",IF(COUNTIFS('08 Allocation Data'!$A$5:$A$34,D48,'08 Allocation Data'!$C$5:$C$34,"Yes")=0,"ERROR - INACTIVE","OK"))))</f>
        <v/>
      </c>
      <c r="H48" s="89"/>
      <c r="I48" s="38">
        <f t="shared" si="5"/>
        <v>0</v>
      </c>
      <c r="J48" s="38">
        <f t="shared" si="6"/>
        <v>0</v>
      </c>
      <c r="K48" s="38">
        <f t="shared" si="7"/>
        <v>0</v>
      </c>
    </row>
    <row r="49" spans="1:11" ht="32" customHeight="1">
      <c r="A49" s="21">
        <v>29</v>
      </c>
      <c r="B49" s="89"/>
      <c r="C49" s="89"/>
      <c r="D49" s="40" t="str">
        <f t="shared" si="3"/>
        <v/>
      </c>
      <c r="E49" s="91"/>
      <c r="F49" s="38">
        <f t="shared" si="4"/>
        <v>0</v>
      </c>
      <c r="G49" s="40" t="str">
        <f>IF(AND(B49="",C49="",E49=""),"",IF(OR(B49="",C49="",E49="",E49&lt;0,COUNTIF($A$5:$A$16,B49)=0,SUMIF($A$5:$A$16,B49,$F$5:$F$16)=0),"ERROR - INCOMPLETE",IF(COUNTIFS($B$21:B49,B49,$C$21:C49,C49)&gt;1,"ERROR - DUPLICATE",IF(COUNTIFS('08 Allocation Data'!$A$5:$A$34,D49,'08 Allocation Data'!$C$5:$C$34,"Yes")=0,"ERROR - INACTIVE","OK"))))</f>
        <v/>
      </c>
      <c r="H49" s="89"/>
      <c r="I49" s="38">
        <f t="shared" si="5"/>
        <v>0</v>
      </c>
      <c r="J49" s="38">
        <f t="shared" si="6"/>
        <v>0</v>
      </c>
      <c r="K49" s="38">
        <f t="shared" si="7"/>
        <v>0</v>
      </c>
    </row>
    <row r="50" spans="1:11" ht="32" customHeight="1">
      <c r="A50" s="21">
        <v>30</v>
      </c>
      <c r="B50" s="89"/>
      <c r="C50" s="89"/>
      <c r="D50" s="40" t="str">
        <f t="shared" si="3"/>
        <v/>
      </c>
      <c r="E50" s="91"/>
      <c r="F50" s="38">
        <f t="shared" si="4"/>
        <v>0</v>
      </c>
      <c r="G50" s="40" t="str">
        <f>IF(AND(B50="",C50="",E50=""),"",IF(OR(B50="",C50="",E50="",E50&lt;0,COUNTIF($A$5:$A$16,B50)=0,SUMIF($A$5:$A$16,B50,$F$5:$F$16)=0),"ERROR - INCOMPLETE",IF(COUNTIFS($B$21:B50,B50,$C$21:C50,C50)&gt;1,"ERROR - DUPLICATE",IF(COUNTIFS('08 Allocation Data'!$A$5:$A$34,D50,'08 Allocation Data'!$C$5:$C$34,"Yes")=0,"ERROR - INACTIVE","OK"))))</f>
        <v/>
      </c>
      <c r="H50" s="89"/>
      <c r="I50" s="38">
        <f t="shared" si="5"/>
        <v>0</v>
      </c>
      <c r="J50" s="38">
        <f t="shared" si="6"/>
        <v>0</v>
      </c>
      <c r="K50" s="38">
        <f t="shared" si="7"/>
        <v>0</v>
      </c>
    </row>
    <row r="51" spans="1:11" ht="32" customHeight="1">
      <c r="A51" s="21">
        <v>31</v>
      </c>
      <c r="B51" s="89"/>
      <c r="C51" s="89"/>
      <c r="D51" s="40" t="str">
        <f t="shared" si="3"/>
        <v/>
      </c>
      <c r="E51" s="91"/>
      <c r="F51" s="38">
        <f t="shared" si="4"/>
        <v>0</v>
      </c>
      <c r="G51" s="40" t="str">
        <f>IF(AND(B51="",C51="",E51=""),"",IF(OR(B51="",C51="",E51="",E51&lt;0,COUNTIF($A$5:$A$16,B51)=0,SUMIF($A$5:$A$16,B51,$F$5:$F$16)=0),"ERROR - INCOMPLETE",IF(COUNTIFS($B$21:B51,B51,$C$21:C51,C51)&gt;1,"ERROR - DUPLICATE",IF(COUNTIFS('08 Allocation Data'!$A$5:$A$34,D51,'08 Allocation Data'!$C$5:$C$34,"Yes")=0,"ERROR - INACTIVE","OK"))))</f>
        <v/>
      </c>
      <c r="H51" s="89"/>
      <c r="I51" s="38">
        <f t="shared" si="5"/>
        <v>0</v>
      </c>
      <c r="J51" s="38">
        <f t="shared" si="6"/>
        <v>0</v>
      </c>
      <c r="K51" s="38">
        <f t="shared" si="7"/>
        <v>0</v>
      </c>
    </row>
    <row r="52" spans="1:11" ht="32" customHeight="1">
      <c r="A52" s="21">
        <v>32</v>
      </c>
      <c r="B52" s="89"/>
      <c r="C52" s="89"/>
      <c r="D52" s="40" t="str">
        <f t="shared" si="3"/>
        <v/>
      </c>
      <c r="E52" s="91"/>
      <c r="F52" s="38">
        <f t="shared" si="4"/>
        <v>0</v>
      </c>
      <c r="G52" s="40" t="str">
        <f>IF(AND(B52="",C52="",E52=""),"",IF(OR(B52="",C52="",E52="",E52&lt;0,COUNTIF($A$5:$A$16,B52)=0,SUMIF($A$5:$A$16,B52,$F$5:$F$16)=0),"ERROR - INCOMPLETE",IF(COUNTIFS($B$21:B52,B52,$C$21:C52,C52)&gt;1,"ERROR - DUPLICATE",IF(COUNTIFS('08 Allocation Data'!$A$5:$A$34,D52,'08 Allocation Data'!$C$5:$C$34,"Yes")=0,"ERROR - INACTIVE","OK"))))</f>
        <v/>
      </c>
      <c r="H52" s="89"/>
      <c r="I52" s="38">
        <f t="shared" si="5"/>
        <v>0</v>
      </c>
      <c r="J52" s="38">
        <f t="shared" si="6"/>
        <v>0</v>
      </c>
      <c r="K52" s="38">
        <f t="shared" si="7"/>
        <v>0</v>
      </c>
    </row>
    <row r="53" spans="1:11" ht="32" customHeight="1">
      <c r="A53" s="21">
        <v>33</v>
      </c>
      <c r="B53" s="89"/>
      <c r="C53" s="89"/>
      <c r="D53" s="40" t="str">
        <f t="shared" si="3"/>
        <v/>
      </c>
      <c r="E53" s="91"/>
      <c r="F53" s="38">
        <f t="shared" si="4"/>
        <v>0</v>
      </c>
      <c r="G53" s="40" t="str">
        <f>IF(AND(B53="",C53="",E53=""),"",IF(OR(B53="",C53="",E53="",E53&lt;0,COUNTIF($A$5:$A$16,B53)=0,SUMIF($A$5:$A$16,B53,$F$5:$F$16)=0),"ERROR - INCOMPLETE",IF(COUNTIFS($B$21:B53,B53,$C$21:C53,C53)&gt;1,"ERROR - DUPLICATE",IF(COUNTIFS('08 Allocation Data'!$A$5:$A$34,D53,'08 Allocation Data'!$C$5:$C$34,"Yes")=0,"ERROR - INACTIVE","OK"))))</f>
        <v/>
      </c>
      <c r="H53" s="89"/>
      <c r="I53" s="38">
        <f t="shared" si="5"/>
        <v>0</v>
      </c>
      <c r="J53" s="38">
        <f t="shared" si="6"/>
        <v>0</v>
      </c>
      <c r="K53" s="38">
        <f t="shared" si="7"/>
        <v>0</v>
      </c>
    </row>
    <row r="54" spans="1:11" ht="32" customHeight="1">
      <c r="A54" s="21">
        <v>34</v>
      </c>
      <c r="B54" s="89"/>
      <c r="C54" s="89"/>
      <c r="D54" s="40" t="str">
        <f t="shared" si="3"/>
        <v/>
      </c>
      <c r="E54" s="91"/>
      <c r="F54" s="38">
        <f t="shared" si="4"/>
        <v>0</v>
      </c>
      <c r="G54" s="40" t="str">
        <f>IF(AND(B54="",C54="",E54=""),"",IF(OR(B54="",C54="",E54="",E54&lt;0,COUNTIF($A$5:$A$16,B54)=0,SUMIF($A$5:$A$16,B54,$F$5:$F$16)=0),"ERROR - INCOMPLETE",IF(COUNTIFS($B$21:B54,B54,$C$21:C54,C54)&gt;1,"ERROR - DUPLICATE",IF(COUNTIFS('08 Allocation Data'!$A$5:$A$34,D54,'08 Allocation Data'!$C$5:$C$34,"Yes")=0,"ERROR - INACTIVE","OK"))))</f>
        <v/>
      </c>
      <c r="H54" s="89"/>
      <c r="I54" s="38">
        <f t="shared" si="5"/>
        <v>0</v>
      </c>
      <c r="J54" s="38">
        <f t="shared" si="6"/>
        <v>0</v>
      </c>
      <c r="K54" s="38">
        <f t="shared" si="7"/>
        <v>0</v>
      </c>
    </row>
    <row r="55" spans="1:11" ht="32" customHeight="1">
      <c r="A55" s="21">
        <v>35</v>
      </c>
      <c r="B55" s="89"/>
      <c r="C55" s="89"/>
      <c r="D55" s="40" t="str">
        <f t="shared" si="3"/>
        <v/>
      </c>
      <c r="E55" s="91"/>
      <c r="F55" s="38">
        <f t="shared" si="4"/>
        <v>0</v>
      </c>
      <c r="G55" s="40" t="str">
        <f>IF(AND(B55="",C55="",E55=""),"",IF(OR(B55="",C55="",E55="",E55&lt;0,COUNTIF($A$5:$A$16,B55)=0,SUMIF($A$5:$A$16,B55,$F$5:$F$16)=0),"ERROR - INCOMPLETE",IF(COUNTIFS($B$21:B55,B55,$C$21:C55,C55)&gt;1,"ERROR - DUPLICATE",IF(COUNTIFS('08 Allocation Data'!$A$5:$A$34,D55,'08 Allocation Data'!$C$5:$C$34,"Yes")=0,"ERROR - INACTIVE","OK"))))</f>
        <v/>
      </c>
      <c r="H55" s="89"/>
      <c r="I55" s="38">
        <f t="shared" si="5"/>
        <v>0</v>
      </c>
      <c r="J55" s="38">
        <f t="shared" si="6"/>
        <v>0</v>
      </c>
      <c r="K55" s="38">
        <f t="shared" si="7"/>
        <v>0</v>
      </c>
    </row>
    <row r="56" spans="1:11" ht="32" customHeight="1">
      <c r="A56" s="21">
        <v>36</v>
      </c>
      <c r="B56" s="89"/>
      <c r="C56" s="89"/>
      <c r="D56" s="40" t="str">
        <f t="shared" si="3"/>
        <v/>
      </c>
      <c r="E56" s="91"/>
      <c r="F56" s="38">
        <f t="shared" si="4"/>
        <v>0</v>
      </c>
      <c r="G56" s="40" t="str">
        <f>IF(AND(B56="",C56="",E56=""),"",IF(OR(B56="",C56="",E56="",E56&lt;0,COUNTIF($A$5:$A$16,B56)=0,SUMIF($A$5:$A$16,B56,$F$5:$F$16)=0),"ERROR - INCOMPLETE",IF(COUNTIFS($B$21:B56,B56,$C$21:C56,C56)&gt;1,"ERROR - DUPLICATE",IF(COUNTIFS('08 Allocation Data'!$A$5:$A$34,D56,'08 Allocation Data'!$C$5:$C$34,"Yes")=0,"ERROR - INACTIVE","OK"))))</f>
        <v/>
      </c>
      <c r="H56" s="89"/>
      <c r="I56" s="38">
        <f t="shared" si="5"/>
        <v>0</v>
      </c>
      <c r="J56" s="38">
        <f t="shared" si="6"/>
        <v>0</v>
      </c>
      <c r="K56" s="38">
        <f t="shared" si="7"/>
        <v>0</v>
      </c>
    </row>
    <row r="57" spans="1:11" ht="32" customHeight="1">
      <c r="A57" s="21">
        <v>37</v>
      </c>
      <c r="B57" s="89"/>
      <c r="C57" s="89"/>
      <c r="D57" s="40" t="str">
        <f t="shared" si="3"/>
        <v/>
      </c>
      <c r="E57" s="91"/>
      <c r="F57" s="38">
        <f t="shared" si="4"/>
        <v>0</v>
      </c>
      <c r="G57" s="40" t="str">
        <f>IF(AND(B57="",C57="",E57=""),"",IF(OR(B57="",C57="",E57="",E57&lt;0,COUNTIF($A$5:$A$16,B57)=0,SUMIF($A$5:$A$16,B57,$F$5:$F$16)=0),"ERROR - INCOMPLETE",IF(COUNTIFS($B$21:B57,B57,$C$21:C57,C57)&gt;1,"ERROR - DUPLICATE",IF(COUNTIFS('08 Allocation Data'!$A$5:$A$34,D57,'08 Allocation Data'!$C$5:$C$34,"Yes")=0,"ERROR - INACTIVE","OK"))))</f>
        <v/>
      </c>
      <c r="H57" s="89"/>
      <c r="I57" s="38">
        <f t="shared" si="5"/>
        <v>0</v>
      </c>
      <c r="J57" s="38">
        <f t="shared" si="6"/>
        <v>0</v>
      </c>
      <c r="K57" s="38">
        <f t="shared" si="7"/>
        <v>0</v>
      </c>
    </row>
    <row r="58" spans="1:11" ht="32" customHeight="1">
      <c r="A58" s="21">
        <v>38</v>
      </c>
      <c r="B58" s="89"/>
      <c r="C58" s="89"/>
      <c r="D58" s="40" t="str">
        <f t="shared" si="3"/>
        <v/>
      </c>
      <c r="E58" s="91"/>
      <c r="F58" s="38">
        <f t="shared" si="4"/>
        <v>0</v>
      </c>
      <c r="G58" s="40" t="str">
        <f>IF(AND(B58="",C58="",E58=""),"",IF(OR(B58="",C58="",E58="",E58&lt;0,COUNTIF($A$5:$A$16,B58)=0,SUMIF($A$5:$A$16,B58,$F$5:$F$16)=0),"ERROR - INCOMPLETE",IF(COUNTIFS($B$21:B58,B58,$C$21:C58,C58)&gt;1,"ERROR - DUPLICATE",IF(COUNTIFS('08 Allocation Data'!$A$5:$A$34,D58,'08 Allocation Data'!$C$5:$C$34,"Yes")=0,"ERROR - INACTIVE","OK"))))</f>
        <v/>
      </c>
      <c r="H58" s="89"/>
      <c r="I58" s="38">
        <f t="shared" si="5"/>
        <v>0</v>
      </c>
      <c r="J58" s="38">
        <f t="shared" si="6"/>
        <v>0</v>
      </c>
      <c r="K58" s="38">
        <f t="shared" si="7"/>
        <v>0</v>
      </c>
    </row>
    <row r="59" spans="1:11" ht="32" customHeight="1">
      <c r="A59" s="21">
        <v>39</v>
      </c>
      <c r="B59" s="89"/>
      <c r="C59" s="89"/>
      <c r="D59" s="40" t="str">
        <f t="shared" si="3"/>
        <v/>
      </c>
      <c r="E59" s="91"/>
      <c r="F59" s="38">
        <f t="shared" si="4"/>
        <v>0</v>
      </c>
      <c r="G59" s="40" t="str">
        <f>IF(AND(B59="",C59="",E59=""),"",IF(OR(B59="",C59="",E59="",E59&lt;0,COUNTIF($A$5:$A$16,B59)=0,SUMIF($A$5:$A$16,B59,$F$5:$F$16)=0),"ERROR - INCOMPLETE",IF(COUNTIFS($B$21:B59,B59,$C$21:C59,C59)&gt;1,"ERROR - DUPLICATE",IF(COUNTIFS('08 Allocation Data'!$A$5:$A$34,D59,'08 Allocation Data'!$C$5:$C$34,"Yes")=0,"ERROR - INACTIVE","OK"))))</f>
        <v/>
      </c>
      <c r="H59" s="89"/>
      <c r="I59" s="38">
        <f t="shared" si="5"/>
        <v>0</v>
      </c>
      <c r="J59" s="38">
        <f t="shared" si="6"/>
        <v>0</v>
      </c>
      <c r="K59" s="38">
        <f t="shared" si="7"/>
        <v>0</v>
      </c>
    </row>
    <row r="60" spans="1:11" ht="32" customHeight="1">
      <c r="A60" s="21">
        <v>40</v>
      </c>
      <c r="B60" s="89"/>
      <c r="C60" s="89"/>
      <c r="D60" s="40" t="str">
        <f t="shared" si="3"/>
        <v/>
      </c>
      <c r="E60" s="91"/>
      <c r="F60" s="38">
        <f t="shared" si="4"/>
        <v>0</v>
      </c>
      <c r="G60" s="40" t="str">
        <f>IF(AND(B60="",C60="",E60=""),"",IF(OR(B60="",C60="",E60="",E60&lt;0,COUNTIF($A$5:$A$16,B60)=0,SUMIF($A$5:$A$16,B60,$F$5:$F$16)=0),"ERROR - INCOMPLETE",IF(COUNTIFS($B$21:B60,B60,$C$21:C60,C60)&gt;1,"ERROR - DUPLICATE",IF(COUNTIFS('08 Allocation Data'!$A$5:$A$34,D60,'08 Allocation Data'!$C$5:$C$34,"Yes")=0,"ERROR - INACTIVE","OK"))))</f>
        <v/>
      </c>
      <c r="H60" s="89"/>
      <c r="I60" s="38">
        <f t="shared" si="5"/>
        <v>0</v>
      </c>
      <c r="J60" s="38">
        <f t="shared" si="6"/>
        <v>0</v>
      </c>
      <c r="K60" s="38">
        <f t="shared" si="7"/>
        <v>0</v>
      </c>
    </row>
    <row r="61" spans="1:11" ht="32" customHeight="1">
      <c r="A61" s="21">
        <v>41</v>
      </c>
      <c r="B61" s="89"/>
      <c r="C61" s="89"/>
      <c r="D61" s="40" t="str">
        <f t="shared" si="3"/>
        <v/>
      </c>
      <c r="E61" s="91"/>
      <c r="F61" s="38">
        <f t="shared" si="4"/>
        <v>0</v>
      </c>
      <c r="G61" s="40" t="str">
        <f>IF(AND(B61="",C61="",E61=""),"",IF(OR(B61="",C61="",E61="",E61&lt;0,COUNTIF($A$5:$A$16,B61)=0,SUMIF($A$5:$A$16,B61,$F$5:$F$16)=0),"ERROR - INCOMPLETE",IF(COUNTIFS($B$21:B61,B61,$C$21:C61,C61)&gt;1,"ERROR - DUPLICATE",IF(COUNTIFS('08 Allocation Data'!$A$5:$A$34,D61,'08 Allocation Data'!$C$5:$C$34,"Yes")=0,"ERROR - INACTIVE","OK"))))</f>
        <v/>
      </c>
      <c r="H61" s="89"/>
      <c r="I61" s="38">
        <f t="shared" si="5"/>
        <v>0</v>
      </c>
      <c r="J61" s="38">
        <f t="shared" si="6"/>
        <v>0</v>
      </c>
      <c r="K61" s="38">
        <f t="shared" si="7"/>
        <v>0</v>
      </c>
    </row>
    <row r="62" spans="1:11" ht="32" customHeight="1">
      <c r="A62" s="21">
        <v>42</v>
      </c>
      <c r="B62" s="89"/>
      <c r="C62" s="89"/>
      <c r="D62" s="40" t="str">
        <f t="shared" si="3"/>
        <v/>
      </c>
      <c r="E62" s="91"/>
      <c r="F62" s="38">
        <f t="shared" si="4"/>
        <v>0</v>
      </c>
      <c r="G62" s="40" t="str">
        <f>IF(AND(B62="",C62="",E62=""),"",IF(OR(B62="",C62="",E62="",E62&lt;0,COUNTIF($A$5:$A$16,B62)=0,SUMIF($A$5:$A$16,B62,$F$5:$F$16)=0),"ERROR - INCOMPLETE",IF(COUNTIFS($B$21:B62,B62,$C$21:C62,C62)&gt;1,"ERROR - DUPLICATE",IF(COUNTIFS('08 Allocation Data'!$A$5:$A$34,D62,'08 Allocation Data'!$C$5:$C$34,"Yes")=0,"ERROR - INACTIVE","OK"))))</f>
        <v/>
      </c>
      <c r="H62" s="89"/>
      <c r="I62" s="38">
        <f t="shared" si="5"/>
        <v>0</v>
      </c>
      <c r="J62" s="38">
        <f t="shared" si="6"/>
        <v>0</v>
      </c>
      <c r="K62" s="38">
        <f t="shared" si="7"/>
        <v>0</v>
      </c>
    </row>
    <row r="63" spans="1:11" ht="32" customHeight="1">
      <c r="A63" s="21">
        <v>43</v>
      </c>
      <c r="B63" s="89"/>
      <c r="C63" s="89"/>
      <c r="D63" s="40" t="str">
        <f t="shared" si="3"/>
        <v/>
      </c>
      <c r="E63" s="91"/>
      <c r="F63" s="38">
        <f t="shared" si="4"/>
        <v>0</v>
      </c>
      <c r="G63" s="40" t="str">
        <f>IF(AND(B63="",C63="",E63=""),"",IF(OR(B63="",C63="",E63="",E63&lt;0,COUNTIF($A$5:$A$16,B63)=0,SUMIF($A$5:$A$16,B63,$F$5:$F$16)=0),"ERROR - INCOMPLETE",IF(COUNTIFS($B$21:B63,B63,$C$21:C63,C63)&gt;1,"ERROR - DUPLICATE",IF(COUNTIFS('08 Allocation Data'!$A$5:$A$34,D63,'08 Allocation Data'!$C$5:$C$34,"Yes")=0,"ERROR - INACTIVE","OK"))))</f>
        <v/>
      </c>
      <c r="H63" s="89"/>
      <c r="I63" s="38">
        <f t="shared" si="5"/>
        <v>0</v>
      </c>
      <c r="J63" s="38">
        <f t="shared" si="6"/>
        <v>0</v>
      </c>
      <c r="K63" s="38">
        <f t="shared" si="7"/>
        <v>0</v>
      </c>
    </row>
    <row r="64" spans="1:11" ht="32" customHeight="1">
      <c r="A64" s="21">
        <v>44</v>
      </c>
      <c r="B64" s="89"/>
      <c r="C64" s="89"/>
      <c r="D64" s="40" t="str">
        <f t="shared" si="3"/>
        <v/>
      </c>
      <c r="E64" s="91"/>
      <c r="F64" s="38">
        <f t="shared" si="4"/>
        <v>0</v>
      </c>
      <c r="G64" s="40" t="str">
        <f>IF(AND(B64="",C64="",E64=""),"",IF(OR(B64="",C64="",E64="",E64&lt;0,COUNTIF($A$5:$A$16,B64)=0,SUMIF($A$5:$A$16,B64,$F$5:$F$16)=0),"ERROR - INCOMPLETE",IF(COUNTIFS($B$21:B64,B64,$C$21:C64,C64)&gt;1,"ERROR - DUPLICATE",IF(COUNTIFS('08 Allocation Data'!$A$5:$A$34,D64,'08 Allocation Data'!$C$5:$C$34,"Yes")=0,"ERROR - INACTIVE","OK"))))</f>
        <v/>
      </c>
      <c r="H64" s="89"/>
      <c r="I64" s="38">
        <f t="shared" si="5"/>
        <v>0</v>
      </c>
      <c r="J64" s="38">
        <f t="shared" si="6"/>
        <v>0</v>
      </c>
      <c r="K64" s="38">
        <f t="shared" si="7"/>
        <v>0</v>
      </c>
    </row>
    <row r="65" spans="1:11" ht="32" customHeight="1">
      <c r="A65" s="21">
        <v>45</v>
      </c>
      <c r="B65" s="89"/>
      <c r="C65" s="89"/>
      <c r="D65" s="40" t="str">
        <f t="shared" si="3"/>
        <v/>
      </c>
      <c r="E65" s="91"/>
      <c r="F65" s="38">
        <f t="shared" si="4"/>
        <v>0</v>
      </c>
      <c r="G65" s="40" t="str">
        <f>IF(AND(B65="",C65="",E65=""),"",IF(OR(B65="",C65="",E65="",E65&lt;0,COUNTIF($A$5:$A$16,B65)=0,SUMIF($A$5:$A$16,B65,$F$5:$F$16)=0),"ERROR - INCOMPLETE",IF(COUNTIFS($B$21:B65,B65,$C$21:C65,C65)&gt;1,"ERROR - DUPLICATE",IF(COUNTIFS('08 Allocation Data'!$A$5:$A$34,D65,'08 Allocation Data'!$C$5:$C$34,"Yes")=0,"ERROR - INACTIVE","OK"))))</f>
        <v/>
      </c>
      <c r="H65" s="89"/>
      <c r="I65" s="38">
        <f t="shared" si="5"/>
        <v>0</v>
      </c>
      <c r="J65" s="38">
        <f t="shared" si="6"/>
        <v>0</v>
      </c>
      <c r="K65" s="38">
        <f t="shared" si="7"/>
        <v>0</v>
      </c>
    </row>
    <row r="66" spans="1:11" ht="32" customHeight="1">
      <c r="A66" s="21">
        <v>46</v>
      </c>
      <c r="B66" s="89"/>
      <c r="C66" s="89"/>
      <c r="D66" s="40" t="str">
        <f t="shared" si="3"/>
        <v/>
      </c>
      <c r="E66" s="91"/>
      <c r="F66" s="38">
        <f t="shared" si="4"/>
        <v>0</v>
      </c>
      <c r="G66" s="40" t="str">
        <f>IF(AND(B66="",C66="",E66=""),"",IF(OR(B66="",C66="",E66="",E66&lt;0,COUNTIF($A$5:$A$16,B66)=0,SUMIF($A$5:$A$16,B66,$F$5:$F$16)=0),"ERROR - INCOMPLETE",IF(COUNTIFS($B$21:B66,B66,$C$21:C66,C66)&gt;1,"ERROR - DUPLICATE",IF(COUNTIFS('08 Allocation Data'!$A$5:$A$34,D66,'08 Allocation Data'!$C$5:$C$34,"Yes")=0,"ERROR - INACTIVE","OK"))))</f>
        <v/>
      </c>
      <c r="H66" s="89"/>
      <c r="I66" s="38">
        <f t="shared" si="5"/>
        <v>0</v>
      </c>
      <c r="J66" s="38">
        <f t="shared" si="6"/>
        <v>0</v>
      </c>
      <c r="K66" s="38">
        <f t="shared" si="7"/>
        <v>0</v>
      </c>
    </row>
    <row r="67" spans="1:11" ht="32" customHeight="1">
      <c r="A67" s="21">
        <v>47</v>
      </c>
      <c r="B67" s="89"/>
      <c r="C67" s="89"/>
      <c r="D67" s="40" t="str">
        <f t="shared" si="3"/>
        <v/>
      </c>
      <c r="E67" s="91"/>
      <c r="F67" s="38">
        <f t="shared" si="4"/>
        <v>0</v>
      </c>
      <c r="G67" s="40" t="str">
        <f>IF(AND(B67="",C67="",E67=""),"",IF(OR(B67="",C67="",E67="",E67&lt;0,COUNTIF($A$5:$A$16,B67)=0,SUMIF($A$5:$A$16,B67,$F$5:$F$16)=0),"ERROR - INCOMPLETE",IF(COUNTIFS($B$21:B67,B67,$C$21:C67,C67)&gt;1,"ERROR - DUPLICATE",IF(COUNTIFS('08 Allocation Data'!$A$5:$A$34,D67,'08 Allocation Data'!$C$5:$C$34,"Yes")=0,"ERROR - INACTIVE","OK"))))</f>
        <v/>
      </c>
      <c r="H67" s="89"/>
      <c r="I67" s="38">
        <f t="shared" si="5"/>
        <v>0</v>
      </c>
      <c r="J67" s="38">
        <f t="shared" si="6"/>
        <v>0</v>
      </c>
      <c r="K67" s="38">
        <f t="shared" si="7"/>
        <v>0</v>
      </c>
    </row>
    <row r="68" spans="1:11" ht="32" customHeight="1">
      <c r="A68" s="21">
        <v>48</v>
      </c>
      <c r="B68" s="89"/>
      <c r="C68" s="89"/>
      <c r="D68" s="40" t="str">
        <f t="shared" si="3"/>
        <v/>
      </c>
      <c r="E68" s="91"/>
      <c r="F68" s="38">
        <f t="shared" si="4"/>
        <v>0</v>
      </c>
      <c r="G68" s="40" t="str">
        <f>IF(AND(B68="",C68="",E68=""),"",IF(OR(B68="",C68="",E68="",E68&lt;0,COUNTIF($A$5:$A$16,B68)=0,SUMIF($A$5:$A$16,B68,$F$5:$F$16)=0),"ERROR - INCOMPLETE",IF(COUNTIFS($B$21:B68,B68,$C$21:C68,C68)&gt;1,"ERROR - DUPLICATE",IF(COUNTIFS('08 Allocation Data'!$A$5:$A$34,D68,'08 Allocation Data'!$C$5:$C$34,"Yes")=0,"ERROR - INACTIVE","OK"))))</f>
        <v/>
      </c>
      <c r="H68" s="89"/>
      <c r="I68" s="38">
        <f t="shared" si="5"/>
        <v>0</v>
      </c>
      <c r="J68" s="38">
        <f t="shared" si="6"/>
        <v>0</v>
      </c>
      <c r="K68" s="38">
        <f t="shared" si="7"/>
        <v>0</v>
      </c>
    </row>
    <row r="69" spans="1:11" ht="32" customHeight="1">
      <c r="A69" s="21">
        <v>49</v>
      </c>
      <c r="B69" s="89"/>
      <c r="C69" s="89"/>
      <c r="D69" s="40" t="str">
        <f t="shared" si="3"/>
        <v/>
      </c>
      <c r="E69" s="91"/>
      <c r="F69" s="38">
        <f t="shared" si="4"/>
        <v>0</v>
      </c>
      <c r="G69" s="40" t="str">
        <f>IF(AND(B69="",C69="",E69=""),"",IF(OR(B69="",C69="",E69="",E69&lt;0,COUNTIF($A$5:$A$16,B69)=0,SUMIF($A$5:$A$16,B69,$F$5:$F$16)=0),"ERROR - INCOMPLETE",IF(COUNTIFS($B$21:B69,B69,$C$21:C69,C69)&gt;1,"ERROR - DUPLICATE",IF(COUNTIFS('08 Allocation Data'!$A$5:$A$34,D69,'08 Allocation Data'!$C$5:$C$34,"Yes")=0,"ERROR - INACTIVE","OK"))))</f>
        <v/>
      </c>
      <c r="H69" s="89"/>
      <c r="I69" s="38">
        <f t="shared" si="5"/>
        <v>0</v>
      </c>
      <c r="J69" s="38">
        <f t="shared" si="6"/>
        <v>0</v>
      </c>
      <c r="K69" s="38">
        <f t="shared" si="7"/>
        <v>0</v>
      </c>
    </row>
    <row r="70" spans="1:11" ht="32" customHeight="1">
      <c r="A70" s="21">
        <v>50</v>
      </c>
      <c r="B70" s="89"/>
      <c r="C70" s="89"/>
      <c r="D70" s="40" t="str">
        <f t="shared" si="3"/>
        <v/>
      </c>
      <c r="E70" s="91"/>
      <c r="F70" s="38">
        <f t="shared" si="4"/>
        <v>0</v>
      </c>
      <c r="G70" s="40" t="str">
        <f>IF(AND(B70="",C70="",E70=""),"",IF(OR(B70="",C70="",E70="",E70&lt;0,COUNTIF($A$5:$A$16,B70)=0,SUMIF($A$5:$A$16,B70,$F$5:$F$16)=0),"ERROR - INCOMPLETE",IF(COUNTIFS($B$21:B70,B70,$C$21:C70,C70)&gt;1,"ERROR - DUPLICATE",IF(COUNTIFS('08 Allocation Data'!$A$5:$A$34,D70,'08 Allocation Data'!$C$5:$C$34,"Yes")=0,"ERROR - INACTIVE","OK"))))</f>
        <v/>
      </c>
      <c r="H70" s="89"/>
      <c r="I70" s="38">
        <f t="shared" si="5"/>
        <v>0</v>
      </c>
      <c r="J70" s="38">
        <f t="shared" si="6"/>
        <v>0</v>
      </c>
      <c r="K70" s="38">
        <f t="shared" si="7"/>
        <v>0</v>
      </c>
    </row>
    <row r="71" spans="1:11" ht="32" customHeight="1">
      <c r="A71" s="21">
        <v>51</v>
      </c>
      <c r="B71" s="89"/>
      <c r="C71" s="89"/>
      <c r="D71" s="40" t="str">
        <f t="shared" si="3"/>
        <v/>
      </c>
      <c r="E71" s="91"/>
      <c r="F71" s="38">
        <f t="shared" si="4"/>
        <v>0</v>
      </c>
      <c r="G71" s="40" t="str">
        <f>IF(AND(B71="",C71="",E71=""),"",IF(OR(B71="",C71="",E71="",E71&lt;0,COUNTIF($A$5:$A$16,B71)=0,SUMIF($A$5:$A$16,B71,$F$5:$F$16)=0),"ERROR - INCOMPLETE",IF(COUNTIFS($B$21:B71,B71,$C$21:C71,C71)&gt;1,"ERROR - DUPLICATE",IF(COUNTIFS('08 Allocation Data'!$A$5:$A$34,D71,'08 Allocation Data'!$C$5:$C$34,"Yes")=0,"ERROR - INACTIVE","OK"))))</f>
        <v/>
      </c>
      <c r="H71" s="89"/>
      <c r="I71" s="38">
        <f t="shared" si="5"/>
        <v>0</v>
      </c>
      <c r="J71" s="38">
        <f t="shared" si="6"/>
        <v>0</v>
      </c>
      <c r="K71" s="38">
        <f t="shared" si="7"/>
        <v>0</v>
      </c>
    </row>
    <row r="72" spans="1:11" ht="32" customHeight="1">
      <c r="A72" s="21">
        <v>52</v>
      </c>
      <c r="B72" s="89"/>
      <c r="C72" s="89"/>
      <c r="D72" s="40" t="str">
        <f t="shared" si="3"/>
        <v/>
      </c>
      <c r="E72" s="91"/>
      <c r="F72" s="38">
        <f t="shared" si="4"/>
        <v>0</v>
      </c>
      <c r="G72" s="40" t="str">
        <f>IF(AND(B72="",C72="",E72=""),"",IF(OR(B72="",C72="",E72="",E72&lt;0,COUNTIF($A$5:$A$16,B72)=0,SUMIF($A$5:$A$16,B72,$F$5:$F$16)=0),"ERROR - INCOMPLETE",IF(COUNTIFS($B$21:B72,B72,$C$21:C72,C72)&gt;1,"ERROR - DUPLICATE",IF(COUNTIFS('08 Allocation Data'!$A$5:$A$34,D72,'08 Allocation Data'!$C$5:$C$34,"Yes")=0,"ERROR - INACTIVE","OK"))))</f>
        <v/>
      </c>
      <c r="H72" s="89"/>
      <c r="I72" s="38">
        <f t="shared" si="5"/>
        <v>0</v>
      </c>
      <c r="J72" s="38">
        <f t="shared" si="6"/>
        <v>0</v>
      </c>
      <c r="K72" s="38">
        <f t="shared" si="7"/>
        <v>0</v>
      </c>
    </row>
    <row r="73" spans="1:11" ht="32" customHeight="1">
      <c r="A73" s="21">
        <v>53</v>
      </c>
      <c r="B73" s="89"/>
      <c r="C73" s="89"/>
      <c r="D73" s="40" t="str">
        <f t="shared" si="3"/>
        <v/>
      </c>
      <c r="E73" s="91"/>
      <c r="F73" s="38">
        <f t="shared" si="4"/>
        <v>0</v>
      </c>
      <c r="G73" s="40" t="str">
        <f>IF(AND(B73="",C73="",E73=""),"",IF(OR(B73="",C73="",E73="",E73&lt;0,COUNTIF($A$5:$A$16,B73)=0,SUMIF($A$5:$A$16,B73,$F$5:$F$16)=0),"ERROR - INCOMPLETE",IF(COUNTIFS($B$21:B73,B73,$C$21:C73,C73)&gt;1,"ERROR - DUPLICATE",IF(COUNTIFS('08 Allocation Data'!$A$5:$A$34,D73,'08 Allocation Data'!$C$5:$C$34,"Yes")=0,"ERROR - INACTIVE","OK"))))</f>
        <v/>
      </c>
      <c r="H73" s="89"/>
      <c r="I73" s="38">
        <f t="shared" si="5"/>
        <v>0</v>
      </c>
      <c r="J73" s="38">
        <f t="shared" si="6"/>
        <v>0</v>
      </c>
      <c r="K73" s="38">
        <f t="shared" si="7"/>
        <v>0</v>
      </c>
    </row>
    <row r="74" spans="1:11" ht="32" customHeight="1">
      <c r="A74" s="21">
        <v>54</v>
      </c>
      <c r="B74" s="89"/>
      <c r="C74" s="89"/>
      <c r="D74" s="40" t="str">
        <f t="shared" si="3"/>
        <v/>
      </c>
      <c r="E74" s="91"/>
      <c r="F74" s="38">
        <f t="shared" si="4"/>
        <v>0</v>
      </c>
      <c r="G74" s="40" t="str">
        <f>IF(AND(B74="",C74="",E74=""),"",IF(OR(B74="",C74="",E74="",E74&lt;0,COUNTIF($A$5:$A$16,B74)=0,SUMIF($A$5:$A$16,B74,$F$5:$F$16)=0),"ERROR - INCOMPLETE",IF(COUNTIFS($B$21:B74,B74,$C$21:C74,C74)&gt;1,"ERROR - DUPLICATE",IF(COUNTIFS('08 Allocation Data'!$A$5:$A$34,D74,'08 Allocation Data'!$C$5:$C$34,"Yes")=0,"ERROR - INACTIVE","OK"))))</f>
        <v/>
      </c>
      <c r="H74" s="89"/>
      <c r="I74" s="38">
        <f t="shared" si="5"/>
        <v>0</v>
      </c>
      <c r="J74" s="38">
        <f t="shared" si="6"/>
        <v>0</v>
      </c>
      <c r="K74" s="38">
        <f t="shared" si="7"/>
        <v>0</v>
      </c>
    </row>
    <row r="75" spans="1:11" ht="32" customHeight="1">
      <c r="A75" s="21">
        <v>55</v>
      </c>
      <c r="B75" s="89"/>
      <c r="C75" s="89"/>
      <c r="D75" s="40" t="str">
        <f t="shared" si="3"/>
        <v/>
      </c>
      <c r="E75" s="91"/>
      <c r="F75" s="38">
        <f t="shared" si="4"/>
        <v>0</v>
      </c>
      <c r="G75" s="40" t="str">
        <f>IF(AND(B75="",C75="",E75=""),"",IF(OR(B75="",C75="",E75="",E75&lt;0,COUNTIF($A$5:$A$16,B75)=0,SUMIF($A$5:$A$16,B75,$F$5:$F$16)=0),"ERROR - INCOMPLETE",IF(COUNTIFS($B$21:B75,B75,$C$21:C75,C75)&gt;1,"ERROR - DUPLICATE",IF(COUNTIFS('08 Allocation Data'!$A$5:$A$34,D75,'08 Allocation Data'!$C$5:$C$34,"Yes")=0,"ERROR - INACTIVE","OK"))))</f>
        <v/>
      </c>
      <c r="H75" s="89"/>
      <c r="I75" s="38">
        <f t="shared" si="5"/>
        <v>0</v>
      </c>
      <c r="J75" s="38">
        <f t="shared" si="6"/>
        <v>0</v>
      </c>
      <c r="K75" s="38">
        <f t="shared" si="7"/>
        <v>0</v>
      </c>
    </row>
    <row r="76" spans="1:11" ht="32" customHeight="1">
      <c r="A76" s="21">
        <v>56</v>
      </c>
      <c r="B76" s="89"/>
      <c r="C76" s="89"/>
      <c r="D76" s="40" t="str">
        <f t="shared" si="3"/>
        <v/>
      </c>
      <c r="E76" s="91"/>
      <c r="F76" s="38">
        <f t="shared" si="4"/>
        <v>0</v>
      </c>
      <c r="G76" s="40" t="str">
        <f>IF(AND(B76="",C76="",E76=""),"",IF(OR(B76="",C76="",E76="",E76&lt;0,COUNTIF($A$5:$A$16,B76)=0,SUMIF($A$5:$A$16,B76,$F$5:$F$16)=0),"ERROR - INCOMPLETE",IF(COUNTIFS($B$21:B76,B76,$C$21:C76,C76)&gt;1,"ERROR - DUPLICATE",IF(COUNTIFS('08 Allocation Data'!$A$5:$A$34,D76,'08 Allocation Data'!$C$5:$C$34,"Yes")=0,"ERROR - INACTIVE","OK"))))</f>
        <v/>
      </c>
      <c r="H76" s="89"/>
      <c r="I76" s="38">
        <f t="shared" si="5"/>
        <v>0</v>
      </c>
      <c r="J76" s="38">
        <f t="shared" si="6"/>
        <v>0</v>
      </c>
      <c r="K76" s="38">
        <f t="shared" si="7"/>
        <v>0</v>
      </c>
    </row>
    <row r="77" spans="1:11" ht="32" customHeight="1">
      <c r="A77" s="21">
        <v>57</v>
      </c>
      <c r="B77" s="89"/>
      <c r="C77" s="89"/>
      <c r="D77" s="40" t="str">
        <f t="shared" si="3"/>
        <v/>
      </c>
      <c r="E77" s="91"/>
      <c r="F77" s="38">
        <f t="shared" si="4"/>
        <v>0</v>
      </c>
      <c r="G77" s="40" t="str">
        <f>IF(AND(B77="",C77="",E77=""),"",IF(OR(B77="",C77="",E77="",E77&lt;0,COUNTIF($A$5:$A$16,B77)=0,SUMIF($A$5:$A$16,B77,$F$5:$F$16)=0),"ERROR - INCOMPLETE",IF(COUNTIFS($B$21:B77,B77,$C$21:C77,C77)&gt;1,"ERROR - DUPLICATE",IF(COUNTIFS('08 Allocation Data'!$A$5:$A$34,D77,'08 Allocation Data'!$C$5:$C$34,"Yes")=0,"ERROR - INACTIVE","OK"))))</f>
        <v/>
      </c>
      <c r="H77" s="89"/>
      <c r="I77" s="38">
        <f t="shared" si="5"/>
        <v>0</v>
      </c>
      <c r="J77" s="38">
        <f t="shared" si="6"/>
        <v>0</v>
      </c>
      <c r="K77" s="38">
        <f t="shared" si="7"/>
        <v>0</v>
      </c>
    </row>
    <row r="78" spans="1:11" ht="32" customHeight="1">
      <c r="A78" s="21">
        <v>58</v>
      </c>
      <c r="B78" s="89"/>
      <c r="C78" s="89"/>
      <c r="D78" s="40" t="str">
        <f t="shared" si="3"/>
        <v/>
      </c>
      <c r="E78" s="91"/>
      <c r="F78" s="38">
        <f t="shared" si="4"/>
        <v>0</v>
      </c>
      <c r="G78" s="40" t="str">
        <f>IF(AND(B78="",C78="",E78=""),"",IF(OR(B78="",C78="",E78="",E78&lt;0,COUNTIF($A$5:$A$16,B78)=0,SUMIF($A$5:$A$16,B78,$F$5:$F$16)=0),"ERROR - INCOMPLETE",IF(COUNTIFS($B$21:B78,B78,$C$21:C78,C78)&gt;1,"ERROR - DUPLICATE",IF(COUNTIFS('08 Allocation Data'!$A$5:$A$34,D78,'08 Allocation Data'!$C$5:$C$34,"Yes")=0,"ERROR - INACTIVE","OK"))))</f>
        <v/>
      </c>
      <c r="H78" s="89"/>
      <c r="I78" s="38">
        <f t="shared" si="5"/>
        <v>0</v>
      </c>
      <c r="J78" s="38">
        <f t="shared" si="6"/>
        <v>0</v>
      </c>
      <c r="K78" s="38">
        <f t="shared" si="7"/>
        <v>0</v>
      </c>
    </row>
    <row r="79" spans="1:11" ht="32" customHeight="1">
      <c r="A79" s="21">
        <v>59</v>
      </c>
      <c r="B79" s="89"/>
      <c r="C79" s="89"/>
      <c r="D79" s="40" t="str">
        <f t="shared" si="3"/>
        <v/>
      </c>
      <c r="E79" s="91"/>
      <c r="F79" s="38">
        <f t="shared" si="4"/>
        <v>0</v>
      </c>
      <c r="G79" s="40" t="str">
        <f>IF(AND(B79="",C79="",E79=""),"",IF(OR(B79="",C79="",E79="",E79&lt;0,COUNTIF($A$5:$A$16,B79)=0,SUMIF($A$5:$A$16,B79,$F$5:$F$16)=0),"ERROR - INCOMPLETE",IF(COUNTIFS($B$21:B79,B79,$C$21:C79,C79)&gt;1,"ERROR - DUPLICATE",IF(COUNTIFS('08 Allocation Data'!$A$5:$A$34,D79,'08 Allocation Data'!$C$5:$C$34,"Yes")=0,"ERROR - INACTIVE","OK"))))</f>
        <v/>
      </c>
      <c r="H79" s="89"/>
      <c r="I79" s="38">
        <f t="shared" si="5"/>
        <v>0</v>
      </c>
      <c r="J79" s="38">
        <f t="shared" si="6"/>
        <v>0</v>
      </c>
      <c r="K79" s="38">
        <f t="shared" si="7"/>
        <v>0</v>
      </c>
    </row>
    <row r="80" spans="1:11" ht="32" customHeight="1">
      <c r="A80" s="21">
        <v>60</v>
      </c>
      <c r="B80" s="89"/>
      <c r="C80" s="89"/>
      <c r="D80" s="40" t="str">
        <f t="shared" si="3"/>
        <v/>
      </c>
      <c r="E80" s="91"/>
      <c r="F80" s="38">
        <f t="shared" si="4"/>
        <v>0</v>
      </c>
      <c r="G80" s="40" t="str">
        <f>IF(AND(B80="",C80="",E80=""),"",IF(OR(B80="",C80="",E80="",E80&lt;0,COUNTIF($A$5:$A$16,B80)=0,SUMIF($A$5:$A$16,B80,$F$5:$F$16)=0),"ERROR - INCOMPLETE",IF(COUNTIFS($B$21:B80,B80,$C$21:C80,C80)&gt;1,"ERROR - DUPLICATE",IF(COUNTIFS('08 Allocation Data'!$A$5:$A$34,D80,'08 Allocation Data'!$C$5:$C$34,"Yes")=0,"ERROR - INACTIVE","OK"))))</f>
        <v/>
      </c>
      <c r="H80" s="89"/>
      <c r="I80" s="38">
        <f t="shared" si="5"/>
        <v>0</v>
      </c>
      <c r="J80" s="38">
        <f t="shared" si="6"/>
        <v>0</v>
      </c>
      <c r="K80" s="38">
        <f t="shared" si="7"/>
        <v>0</v>
      </c>
    </row>
    <row r="81" spans="1:11" ht="32" customHeight="1">
      <c r="A81" s="21">
        <v>61</v>
      </c>
      <c r="B81" s="89"/>
      <c r="C81" s="89"/>
      <c r="D81" s="40" t="str">
        <f t="shared" si="3"/>
        <v/>
      </c>
      <c r="E81" s="91"/>
      <c r="F81" s="38">
        <f t="shared" si="4"/>
        <v>0</v>
      </c>
      <c r="G81" s="40" t="str">
        <f>IF(AND(B81="",C81="",E81=""),"",IF(OR(B81="",C81="",E81="",E81&lt;0,COUNTIF($A$5:$A$16,B81)=0,SUMIF($A$5:$A$16,B81,$F$5:$F$16)=0),"ERROR - INCOMPLETE",IF(COUNTIFS($B$21:B81,B81,$C$21:C81,C81)&gt;1,"ERROR - DUPLICATE",IF(COUNTIFS('08 Allocation Data'!$A$5:$A$34,D81,'08 Allocation Data'!$C$5:$C$34,"Yes")=0,"ERROR - INACTIVE","OK"))))</f>
        <v/>
      </c>
      <c r="H81" s="89"/>
      <c r="I81" s="38">
        <f t="shared" si="5"/>
        <v>0</v>
      </c>
      <c r="J81" s="38">
        <f t="shared" si="6"/>
        <v>0</v>
      </c>
      <c r="K81" s="38">
        <f t="shared" si="7"/>
        <v>0</v>
      </c>
    </row>
    <row r="82" spans="1:11" ht="32" customHeight="1">
      <c r="A82" s="21">
        <v>62</v>
      </c>
      <c r="B82" s="89"/>
      <c r="C82" s="89"/>
      <c r="D82" s="40" t="str">
        <f t="shared" si="3"/>
        <v/>
      </c>
      <c r="E82" s="91"/>
      <c r="F82" s="38">
        <f t="shared" si="4"/>
        <v>0</v>
      </c>
      <c r="G82" s="40" t="str">
        <f>IF(AND(B82="",C82="",E82=""),"",IF(OR(B82="",C82="",E82="",E82&lt;0,COUNTIF($A$5:$A$16,B82)=0,SUMIF($A$5:$A$16,B82,$F$5:$F$16)=0),"ERROR - INCOMPLETE",IF(COUNTIFS($B$21:B82,B82,$C$21:C82,C82)&gt;1,"ERROR - DUPLICATE",IF(COUNTIFS('08 Allocation Data'!$A$5:$A$34,D82,'08 Allocation Data'!$C$5:$C$34,"Yes")=0,"ERROR - INACTIVE","OK"))))</f>
        <v/>
      </c>
      <c r="H82" s="89"/>
      <c r="I82" s="38">
        <f t="shared" si="5"/>
        <v>0</v>
      </c>
      <c r="J82" s="38">
        <f t="shared" si="6"/>
        <v>0</v>
      </c>
      <c r="K82" s="38">
        <f t="shared" si="7"/>
        <v>0</v>
      </c>
    </row>
    <row r="83" spans="1:11" ht="32" customHeight="1">
      <c r="A83" s="21">
        <v>63</v>
      </c>
      <c r="B83" s="89"/>
      <c r="C83" s="89"/>
      <c r="D83" s="40" t="str">
        <f t="shared" si="3"/>
        <v/>
      </c>
      <c r="E83" s="91"/>
      <c r="F83" s="38">
        <f t="shared" si="4"/>
        <v>0</v>
      </c>
      <c r="G83" s="40" t="str">
        <f>IF(AND(B83="",C83="",E83=""),"",IF(OR(B83="",C83="",E83="",E83&lt;0,COUNTIF($A$5:$A$16,B83)=0,SUMIF($A$5:$A$16,B83,$F$5:$F$16)=0),"ERROR - INCOMPLETE",IF(COUNTIFS($B$21:B83,B83,$C$21:C83,C83)&gt;1,"ERROR - DUPLICATE",IF(COUNTIFS('08 Allocation Data'!$A$5:$A$34,D83,'08 Allocation Data'!$C$5:$C$34,"Yes")=0,"ERROR - INACTIVE","OK"))))</f>
        <v/>
      </c>
      <c r="H83" s="89"/>
      <c r="I83" s="38">
        <f t="shared" si="5"/>
        <v>0</v>
      </c>
      <c r="J83" s="38">
        <f t="shared" si="6"/>
        <v>0</v>
      </c>
      <c r="K83" s="38">
        <f t="shared" si="7"/>
        <v>0</v>
      </c>
    </row>
    <row r="84" spans="1:11" ht="32" customHeight="1">
      <c r="A84" s="21">
        <v>64</v>
      </c>
      <c r="B84" s="89"/>
      <c r="C84" s="89"/>
      <c r="D84" s="40" t="str">
        <f t="shared" si="3"/>
        <v/>
      </c>
      <c r="E84" s="91"/>
      <c r="F84" s="38">
        <f t="shared" si="4"/>
        <v>0</v>
      </c>
      <c r="G84" s="40" t="str">
        <f>IF(AND(B84="",C84="",E84=""),"",IF(OR(B84="",C84="",E84="",E84&lt;0,COUNTIF($A$5:$A$16,B84)=0,SUMIF($A$5:$A$16,B84,$F$5:$F$16)=0),"ERROR - INCOMPLETE",IF(COUNTIFS($B$21:B84,B84,$C$21:C84,C84)&gt;1,"ERROR - DUPLICATE",IF(COUNTIFS('08 Allocation Data'!$A$5:$A$34,D84,'08 Allocation Data'!$C$5:$C$34,"Yes")=0,"ERROR - INACTIVE","OK"))))</f>
        <v/>
      </c>
      <c r="H84" s="89"/>
      <c r="I84" s="38">
        <f t="shared" si="5"/>
        <v>0</v>
      </c>
      <c r="J84" s="38">
        <f t="shared" si="6"/>
        <v>0</v>
      </c>
      <c r="K84" s="38">
        <f t="shared" si="7"/>
        <v>0</v>
      </c>
    </row>
    <row r="85" spans="1:11" ht="32" customHeight="1">
      <c r="A85" s="21">
        <v>65</v>
      </c>
      <c r="B85" s="89"/>
      <c r="C85" s="89"/>
      <c r="D85" s="40" t="str">
        <f t="shared" ref="D85:D148" si="8">IF(C85="","",IFERROR(LEFT(C85,FIND(" | ",C85)-1),"INVALID"))</f>
        <v/>
      </c>
      <c r="E85" s="91"/>
      <c r="F85" s="38">
        <f t="shared" ref="F85:F148" si="9">SUM(I85:K85)</f>
        <v>0</v>
      </c>
      <c r="G85" s="40" t="str">
        <f>IF(AND(B85="",C85="",E85=""),"",IF(OR(B85="",C85="",E85="",E85&lt;0,COUNTIF($A$5:$A$16,B85)=0,SUMIF($A$5:$A$16,B85,$F$5:$F$16)=0),"ERROR - INCOMPLETE",IF(COUNTIFS($B$21:B85,B85,$C$21:C85,C85)&gt;1,"ERROR - DUPLICATE",IF(COUNTIFS('08 Allocation Data'!$A$5:$A$34,D85,'08 Allocation Data'!$C$5:$C$34,"Yes")=0,"ERROR - INACTIVE","OK"))))</f>
        <v/>
      </c>
      <c r="H85" s="89"/>
      <c r="I85" s="38">
        <f t="shared" ref="I85:I148" si="10">IF(OR(B85="",C85="",E85=""),0,SUMIF($A$5:$A$16,B85,$C$5:$C$16)*E85)</f>
        <v>0</v>
      </c>
      <c r="J85" s="38">
        <f t="shared" ref="J85:J148" si="11">IF(OR(B85="",C85="",E85=""),0,SUMIF($A$5:$A$16,B85,$D$5:$D$16)*E85)</f>
        <v>0</v>
      </c>
      <c r="K85" s="38">
        <f t="shared" ref="K85:K148" si="12">IF(OR(B85="",C85="",E85=""),0,SUMIF($A$5:$A$16,B85,$E$5:$E$16)*E85)</f>
        <v>0</v>
      </c>
    </row>
    <row r="86" spans="1:11" ht="32" customHeight="1">
      <c r="A86" s="21">
        <v>66</v>
      </c>
      <c r="B86" s="89"/>
      <c r="C86" s="89"/>
      <c r="D86" s="40" t="str">
        <f t="shared" si="8"/>
        <v/>
      </c>
      <c r="E86" s="91"/>
      <c r="F86" s="38">
        <f t="shared" si="9"/>
        <v>0</v>
      </c>
      <c r="G86" s="40" t="str">
        <f>IF(AND(B86="",C86="",E86=""),"",IF(OR(B86="",C86="",E86="",E86&lt;0,COUNTIF($A$5:$A$16,B86)=0,SUMIF($A$5:$A$16,B86,$F$5:$F$16)=0),"ERROR - INCOMPLETE",IF(COUNTIFS($B$21:B86,B86,$C$21:C86,C86)&gt;1,"ERROR - DUPLICATE",IF(COUNTIFS('08 Allocation Data'!$A$5:$A$34,D86,'08 Allocation Data'!$C$5:$C$34,"Yes")=0,"ERROR - INACTIVE","OK"))))</f>
        <v/>
      </c>
      <c r="H86" s="89"/>
      <c r="I86" s="38">
        <f t="shared" si="10"/>
        <v>0</v>
      </c>
      <c r="J86" s="38">
        <f t="shared" si="11"/>
        <v>0</v>
      </c>
      <c r="K86" s="38">
        <f t="shared" si="12"/>
        <v>0</v>
      </c>
    </row>
    <row r="87" spans="1:11" ht="32" customHeight="1">
      <c r="A87" s="21">
        <v>67</v>
      </c>
      <c r="B87" s="89"/>
      <c r="C87" s="89"/>
      <c r="D87" s="40" t="str">
        <f t="shared" si="8"/>
        <v/>
      </c>
      <c r="E87" s="91"/>
      <c r="F87" s="38">
        <f t="shared" si="9"/>
        <v>0</v>
      </c>
      <c r="G87" s="40" t="str">
        <f>IF(AND(B87="",C87="",E87=""),"",IF(OR(B87="",C87="",E87="",E87&lt;0,COUNTIF($A$5:$A$16,B87)=0,SUMIF($A$5:$A$16,B87,$F$5:$F$16)=0),"ERROR - INCOMPLETE",IF(COUNTIFS($B$21:B87,B87,$C$21:C87,C87)&gt;1,"ERROR - DUPLICATE",IF(COUNTIFS('08 Allocation Data'!$A$5:$A$34,D87,'08 Allocation Data'!$C$5:$C$34,"Yes")=0,"ERROR - INACTIVE","OK"))))</f>
        <v/>
      </c>
      <c r="H87" s="89"/>
      <c r="I87" s="38">
        <f t="shared" si="10"/>
        <v>0</v>
      </c>
      <c r="J87" s="38">
        <f t="shared" si="11"/>
        <v>0</v>
      </c>
      <c r="K87" s="38">
        <f t="shared" si="12"/>
        <v>0</v>
      </c>
    </row>
    <row r="88" spans="1:11" ht="32" customHeight="1">
      <c r="A88" s="21">
        <v>68</v>
      </c>
      <c r="B88" s="89"/>
      <c r="C88" s="89"/>
      <c r="D88" s="40" t="str">
        <f t="shared" si="8"/>
        <v/>
      </c>
      <c r="E88" s="91"/>
      <c r="F88" s="38">
        <f t="shared" si="9"/>
        <v>0</v>
      </c>
      <c r="G88" s="40" t="str">
        <f>IF(AND(B88="",C88="",E88=""),"",IF(OR(B88="",C88="",E88="",E88&lt;0,COUNTIF($A$5:$A$16,B88)=0,SUMIF($A$5:$A$16,B88,$F$5:$F$16)=0),"ERROR - INCOMPLETE",IF(COUNTIFS($B$21:B88,B88,$C$21:C88,C88)&gt;1,"ERROR - DUPLICATE",IF(COUNTIFS('08 Allocation Data'!$A$5:$A$34,D88,'08 Allocation Data'!$C$5:$C$34,"Yes")=0,"ERROR - INACTIVE","OK"))))</f>
        <v/>
      </c>
      <c r="H88" s="89"/>
      <c r="I88" s="38">
        <f t="shared" si="10"/>
        <v>0</v>
      </c>
      <c r="J88" s="38">
        <f t="shared" si="11"/>
        <v>0</v>
      </c>
      <c r="K88" s="38">
        <f t="shared" si="12"/>
        <v>0</v>
      </c>
    </row>
    <row r="89" spans="1:11" ht="32" customHeight="1">
      <c r="A89" s="21">
        <v>69</v>
      </c>
      <c r="B89" s="89"/>
      <c r="C89" s="89"/>
      <c r="D89" s="40" t="str">
        <f t="shared" si="8"/>
        <v/>
      </c>
      <c r="E89" s="91"/>
      <c r="F89" s="38">
        <f t="shared" si="9"/>
        <v>0</v>
      </c>
      <c r="G89" s="40" t="str">
        <f>IF(AND(B89="",C89="",E89=""),"",IF(OR(B89="",C89="",E89="",E89&lt;0,COUNTIF($A$5:$A$16,B89)=0,SUMIF($A$5:$A$16,B89,$F$5:$F$16)=0),"ERROR - INCOMPLETE",IF(COUNTIFS($B$21:B89,B89,$C$21:C89,C89)&gt;1,"ERROR - DUPLICATE",IF(COUNTIFS('08 Allocation Data'!$A$5:$A$34,D89,'08 Allocation Data'!$C$5:$C$34,"Yes")=0,"ERROR - INACTIVE","OK"))))</f>
        <v/>
      </c>
      <c r="H89" s="89"/>
      <c r="I89" s="38">
        <f t="shared" si="10"/>
        <v>0</v>
      </c>
      <c r="J89" s="38">
        <f t="shared" si="11"/>
        <v>0</v>
      </c>
      <c r="K89" s="38">
        <f t="shared" si="12"/>
        <v>0</v>
      </c>
    </row>
    <row r="90" spans="1:11" ht="32" customHeight="1">
      <c r="A90" s="21">
        <v>70</v>
      </c>
      <c r="B90" s="89"/>
      <c r="C90" s="89"/>
      <c r="D90" s="40" t="str">
        <f t="shared" si="8"/>
        <v/>
      </c>
      <c r="E90" s="91"/>
      <c r="F90" s="38">
        <f t="shared" si="9"/>
        <v>0</v>
      </c>
      <c r="G90" s="40" t="str">
        <f>IF(AND(B90="",C90="",E90=""),"",IF(OR(B90="",C90="",E90="",E90&lt;0,COUNTIF($A$5:$A$16,B90)=0,SUMIF($A$5:$A$16,B90,$F$5:$F$16)=0),"ERROR - INCOMPLETE",IF(COUNTIFS($B$21:B90,B90,$C$21:C90,C90)&gt;1,"ERROR - DUPLICATE",IF(COUNTIFS('08 Allocation Data'!$A$5:$A$34,D90,'08 Allocation Data'!$C$5:$C$34,"Yes")=0,"ERROR - INACTIVE","OK"))))</f>
        <v/>
      </c>
      <c r="H90" s="89"/>
      <c r="I90" s="38">
        <f t="shared" si="10"/>
        <v>0</v>
      </c>
      <c r="J90" s="38">
        <f t="shared" si="11"/>
        <v>0</v>
      </c>
      <c r="K90" s="38">
        <f t="shared" si="12"/>
        <v>0</v>
      </c>
    </row>
    <row r="91" spans="1:11" ht="32" customHeight="1">
      <c r="A91" s="21">
        <v>71</v>
      </c>
      <c r="B91" s="89"/>
      <c r="C91" s="89"/>
      <c r="D91" s="40" t="str">
        <f t="shared" si="8"/>
        <v/>
      </c>
      <c r="E91" s="91"/>
      <c r="F91" s="38">
        <f t="shared" si="9"/>
        <v>0</v>
      </c>
      <c r="G91" s="40" t="str">
        <f>IF(AND(B91="",C91="",E91=""),"",IF(OR(B91="",C91="",E91="",E91&lt;0,COUNTIF($A$5:$A$16,B91)=0,SUMIF($A$5:$A$16,B91,$F$5:$F$16)=0),"ERROR - INCOMPLETE",IF(COUNTIFS($B$21:B91,B91,$C$21:C91,C91)&gt;1,"ERROR - DUPLICATE",IF(COUNTIFS('08 Allocation Data'!$A$5:$A$34,D91,'08 Allocation Data'!$C$5:$C$34,"Yes")=0,"ERROR - INACTIVE","OK"))))</f>
        <v/>
      </c>
      <c r="H91" s="89"/>
      <c r="I91" s="38">
        <f t="shared" si="10"/>
        <v>0</v>
      </c>
      <c r="J91" s="38">
        <f t="shared" si="11"/>
        <v>0</v>
      </c>
      <c r="K91" s="38">
        <f t="shared" si="12"/>
        <v>0</v>
      </c>
    </row>
    <row r="92" spans="1:11" ht="32" customHeight="1">
      <c r="A92" s="21">
        <v>72</v>
      </c>
      <c r="B92" s="89"/>
      <c r="C92" s="89"/>
      <c r="D92" s="40" t="str">
        <f t="shared" si="8"/>
        <v/>
      </c>
      <c r="E92" s="91"/>
      <c r="F92" s="38">
        <f t="shared" si="9"/>
        <v>0</v>
      </c>
      <c r="G92" s="40" t="str">
        <f>IF(AND(B92="",C92="",E92=""),"",IF(OR(B92="",C92="",E92="",E92&lt;0,COUNTIF($A$5:$A$16,B92)=0,SUMIF($A$5:$A$16,B92,$F$5:$F$16)=0),"ERROR - INCOMPLETE",IF(COUNTIFS($B$21:B92,B92,$C$21:C92,C92)&gt;1,"ERROR - DUPLICATE",IF(COUNTIFS('08 Allocation Data'!$A$5:$A$34,D92,'08 Allocation Data'!$C$5:$C$34,"Yes")=0,"ERROR - INACTIVE","OK"))))</f>
        <v/>
      </c>
      <c r="H92" s="89"/>
      <c r="I92" s="38">
        <f t="shared" si="10"/>
        <v>0</v>
      </c>
      <c r="J92" s="38">
        <f t="shared" si="11"/>
        <v>0</v>
      </c>
      <c r="K92" s="38">
        <f t="shared" si="12"/>
        <v>0</v>
      </c>
    </row>
    <row r="93" spans="1:11" ht="32" customHeight="1">
      <c r="A93" s="21">
        <v>73</v>
      </c>
      <c r="B93" s="89"/>
      <c r="C93" s="89"/>
      <c r="D93" s="40" t="str">
        <f t="shared" si="8"/>
        <v/>
      </c>
      <c r="E93" s="91"/>
      <c r="F93" s="38">
        <f t="shared" si="9"/>
        <v>0</v>
      </c>
      <c r="G93" s="40" t="str">
        <f>IF(AND(B93="",C93="",E93=""),"",IF(OR(B93="",C93="",E93="",E93&lt;0,COUNTIF($A$5:$A$16,B93)=0,SUMIF($A$5:$A$16,B93,$F$5:$F$16)=0),"ERROR - INCOMPLETE",IF(COUNTIFS($B$21:B93,B93,$C$21:C93,C93)&gt;1,"ERROR - DUPLICATE",IF(COUNTIFS('08 Allocation Data'!$A$5:$A$34,D93,'08 Allocation Data'!$C$5:$C$34,"Yes")=0,"ERROR - INACTIVE","OK"))))</f>
        <v/>
      </c>
      <c r="H93" s="89"/>
      <c r="I93" s="38">
        <f t="shared" si="10"/>
        <v>0</v>
      </c>
      <c r="J93" s="38">
        <f t="shared" si="11"/>
        <v>0</v>
      </c>
      <c r="K93" s="38">
        <f t="shared" si="12"/>
        <v>0</v>
      </c>
    </row>
    <row r="94" spans="1:11" ht="32" customHeight="1">
      <c r="A94" s="21">
        <v>74</v>
      </c>
      <c r="B94" s="89"/>
      <c r="C94" s="89"/>
      <c r="D94" s="40" t="str">
        <f t="shared" si="8"/>
        <v/>
      </c>
      <c r="E94" s="91"/>
      <c r="F94" s="38">
        <f t="shared" si="9"/>
        <v>0</v>
      </c>
      <c r="G94" s="40" t="str">
        <f>IF(AND(B94="",C94="",E94=""),"",IF(OR(B94="",C94="",E94="",E94&lt;0,COUNTIF($A$5:$A$16,B94)=0,SUMIF($A$5:$A$16,B94,$F$5:$F$16)=0),"ERROR - INCOMPLETE",IF(COUNTIFS($B$21:B94,B94,$C$21:C94,C94)&gt;1,"ERROR - DUPLICATE",IF(COUNTIFS('08 Allocation Data'!$A$5:$A$34,D94,'08 Allocation Data'!$C$5:$C$34,"Yes")=0,"ERROR - INACTIVE","OK"))))</f>
        <v/>
      </c>
      <c r="H94" s="89"/>
      <c r="I94" s="38">
        <f t="shared" si="10"/>
        <v>0</v>
      </c>
      <c r="J94" s="38">
        <f t="shared" si="11"/>
        <v>0</v>
      </c>
      <c r="K94" s="38">
        <f t="shared" si="12"/>
        <v>0</v>
      </c>
    </row>
    <row r="95" spans="1:11" ht="32" customHeight="1">
      <c r="A95" s="21">
        <v>75</v>
      </c>
      <c r="B95" s="89"/>
      <c r="C95" s="89"/>
      <c r="D95" s="40" t="str">
        <f t="shared" si="8"/>
        <v/>
      </c>
      <c r="E95" s="91"/>
      <c r="F95" s="38">
        <f t="shared" si="9"/>
        <v>0</v>
      </c>
      <c r="G95" s="40" t="str">
        <f>IF(AND(B95="",C95="",E95=""),"",IF(OR(B95="",C95="",E95="",E95&lt;0,COUNTIF($A$5:$A$16,B95)=0,SUMIF($A$5:$A$16,B95,$F$5:$F$16)=0),"ERROR - INCOMPLETE",IF(COUNTIFS($B$21:B95,B95,$C$21:C95,C95)&gt;1,"ERROR - DUPLICATE",IF(COUNTIFS('08 Allocation Data'!$A$5:$A$34,D95,'08 Allocation Data'!$C$5:$C$34,"Yes")=0,"ERROR - INACTIVE","OK"))))</f>
        <v/>
      </c>
      <c r="H95" s="89"/>
      <c r="I95" s="38">
        <f t="shared" si="10"/>
        <v>0</v>
      </c>
      <c r="J95" s="38">
        <f t="shared" si="11"/>
        <v>0</v>
      </c>
      <c r="K95" s="38">
        <f t="shared" si="12"/>
        <v>0</v>
      </c>
    </row>
    <row r="96" spans="1:11" ht="32" customHeight="1">
      <c r="A96" s="21">
        <v>76</v>
      </c>
      <c r="B96" s="89"/>
      <c r="C96" s="89"/>
      <c r="D96" s="40" t="str">
        <f t="shared" si="8"/>
        <v/>
      </c>
      <c r="E96" s="91"/>
      <c r="F96" s="38">
        <f t="shared" si="9"/>
        <v>0</v>
      </c>
      <c r="G96" s="40" t="str">
        <f>IF(AND(B96="",C96="",E96=""),"",IF(OR(B96="",C96="",E96="",E96&lt;0,COUNTIF($A$5:$A$16,B96)=0,SUMIF($A$5:$A$16,B96,$F$5:$F$16)=0),"ERROR - INCOMPLETE",IF(COUNTIFS($B$21:B96,B96,$C$21:C96,C96)&gt;1,"ERROR - DUPLICATE",IF(COUNTIFS('08 Allocation Data'!$A$5:$A$34,D96,'08 Allocation Data'!$C$5:$C$34,"Yes")=0,"ERROR - INACTIVE","OK"))))</f>
        <v/>
      </c>
      <c r="H96" s="89"/>
      <c r="I96" s="38">
        <f t="shared" si="10"/>
        <v>0</v>
      </c>
      <c r="J96" s="38">
        <f t="shared" si="11"/>
        <v>0</v>
      </c>
      <c r="K96" s="38">
        <f t="shared" si="12"/>
        <v>0</v>
      </c>
    </row>
    <row r="97" spans="1:11" ht="32" customHeight="1">
      <c r="A97" s="21">
        <v>77</v>
      </c>
      <c r="B97" s="89"/>
      <c r="C97" s="89"/>
      <c r="D97" s="40" t="str">
        <f t="shared" si="8"/>
        <v/>
      </c>
      <c r="E97" s="91"/>
      <c r="F97" s="38">
        <f t="shared" si="9"/>
        <v>0</v>
      </c>
      <c r="G97" s="40" t="str">
        <f>IF(AND(B97="",C97="",E97=""),"",IF(OR(B97="",C97="",E97="",E97&lt;0,COUNTIF($A$5:$A$16,B97)=0,SUMIF($A$5:$A$16,B97,$F$5:$F$16)=0),"ERROR - INCOMPLETE",IF(COUNTIFS($B$21:B97,B97,$C$21:C97,C97)&gt;1,"ERROR - DUPLICATE",IF(COUNTIFS('08 Allocation Data'!$A$5:$A$34,D97,'08 Allocation Data'!$C$5:$C$34,"Yes")=0,"ERROR - INACTIVE","OK"))))</f>
        <v/>
      </c>
      <c r="H97" s="89"/>
      <c r="I97" s="38">
        <f t="shared" si="10"/>
        <v>0</v>
      </c>
      <c r="J97" s="38">
        <f t="shared" si="11"/>
        <v>0</v>
      </c>
      <c r="K97" s="38">
        <f t="shared" si="12"/>
        <v>0</v>
      </c>
    </row>
    <row r="98" spans="1:11" ht="32" customHeight="1">
      <c r="A98" s="21">
        <v>78</v>
      </c>
      <c r="B98" s="89"/>
      <c r="C98" s="89"/>
      <c r="D98" s="40" t="str">
        <f t="shared" si="8"/>
        <v/>
      </c>
      <c r="E98" s="91"/>
      <c r="F98" s="38">
        <f t="shared" si="9"/>
        <v>0</v>
      </c>
      <c r="G98" s="40" t="str">
        <f>IF(AND(B98="",C98="",E98=""),"",IF(OR(B98="",C98="",E98="",E98&lt;0,COUNTIF($A$5:$A$16,B98)=0,SUMIF($A$5:$A$16,B98,$F$5:$F$16)=0),"ERROR - INCOMPLETE",IF(COUNTIFS($B$21:B98,B98,$C$21:C98,C98)&gt;1,"ERROR - DUPLICATE",IF(COUNTIFS('08 Allocation Data'!$A$5:$A$34,D98,'08 Allocation Data'!$C$5:$C$34,"Yes")=0,"ERROR - INACTIVE","OK"))))</f>
        <v/>
      </c>
      <c r="H98" s="89"/>
      <c r="I98" s="38">
        <f t="shared" si="10"/>
        <v>0</v>
      </c>
      <c r="J98" s="38">
        <f t="shared" si="11"/>
        <v>0</v>
      </c>
      <c r="K98" s="38">
        <f t="shared" si="12"/>
        <v>0</v>
      </c>
    </row>
    <row r="99" spans="1:11" ht="32" customHeight="1">
      <c r="A99" s="21">
        <v>79</v>
      </c>
      <c r="B99" s="89"/>
      <c r="C99" s="89"/>
      <c r="D99" s="40" t="str">
        <f t="shared" si="8"/>
        <v/>
      </c>
      <c r="E99" s="91"/>
      <c r="F99" s="38">
        <f t="shared" si="9"/>
        <v>0</v>
      </c>
      <c r="G99" s="40" t="str">
        <f>IF(AND(B99="",C99="",E99=""),"",IF(OR(B99="",C99="",E99="",E99&lt;0,COUNTIF($A$5:$A$16,B99)=0,SUMIF($A$5:$A$16,B99,$F$5:$F$16)=0),"ERROR - INCOMPLETE",IF(COUNTIFS($B$21:B99,B99,$C$21:C99,C99)&gt;1,"ERROR - DUPLICATE",IF(COUNTIFS('08 Allocation Data'!$A$5:$A$34,D99,'08 Allocation Data'!$C$5:$C$34,"Yes")=0,"ERROR - INACTIVE","OK"))))</f>
        <v/>
      </c>
      <c r="H99" s="89"/>
      <c r="I99" s="38">
        <f t="shared" si="10"/>
        <v>0</v>
      </c>
      <c r="J99" s="38">
        <f t="shared" si="11"/>
        <v>0</v>
      </c>
      <c r="K99" s="38">
        <f t="shared" si="12"/>
        <v>0</v>
      </c>
    </row>
    <row r="100" spans="1:11" ht="32" customHeight="1">
      <c r="A100" s="21">
        <v>80</v>
      </c>
      <c r="B100" s="89"/>
      <c r="C100" s="89"/>
      <c r="D100" s="40" t="str">
        <f t="shared" si="8"/>
        <v/>
      </c>
      <c r="E100" s="91"/>
      <c r="F100" s="38">
        <f t="shared" si="9"/>
        <v>0</v>
      </c>
      <c r="G100" s="40" t="str">
        <f>IF(AND(B100="",C100="",E100=""),"",IF(OR(B100="",C100="",E100="",E100&lt;0,COUNTIF($A$5:$A$16,B100)=0,SUMIF($A$5:$A$16,B100,$F$5:$F$16)=0),"ERROR - INCOMPLETE",IF(COUNTIFS($B$21:B100,B100,$C$21:C100,C100)&gt;1,"ERROR - DUPLICATE",IF(COUNTIFS('08 Allocation Data'!$A$5:$A$34,D100,'08 Allocation Data'!$C$5:$C$34,"Yes")=0,"ERROR - INACTIVE","OK"))))</f>
        <v/>
      </c>
      <c r="H100" s="89"/>
      <c r="I100" s="38">
        <f t="shared" si="10"/>
        <v>0</v>
      </c>
      <c r="J100" s="38">
        <f t="shared" si="11"/>
        <v>0</v>
      </c>
      <c r="K100" s="38">
        <f t="shared" si="12"/>
        <v>0</v>
      </c>
    </row>
    <row r="101" spans="1:11" ht="32" customHeight="1">
      <c r="A101" s="21">
        <v>81</v>
      </c>
      <c r="B101" s="89"/>
      <c r="C101" s="89"/>
      <c r="D101" s="40" t="str">
        <f t="shared" si="8"/>
        <v/>
      </c>
      <c r="E101" s="91"/>
      <c r="F101" s="38">
        <f t="shared" si="9"/>
        <v>0</v>
      </c>
      <c r="G101" s="40" t="str">
        <f>IF(AND(B101="",C101="",E101=""),"",IF(OR(B101="",C101="",E101="",E101&lt;0,COUNTIF($A$5:$A$16,B101)=0,SUMIF($A$5:$A$16,B101,$F$5:$F$16)=0),"ERROR - INCOMPLETE",IF(COUNTIFS($B$21:B101,B101,$C$21:C101,C101)&gt;1,"ERROR - DUPLICATE",IF(COUNTIFS('08 Allocation Data'!$A$5:$A$34,D101,'08 Allocation Data'!$C$5:$C$34,"Yes")=0,"ERROR - INACTIVE","OK"))))</f>
        <v/>
      </c>
      <c r="H101" s="89"/>
      <c r="I101" s="38">
        <f t="shared" si="10"/>
        <v>0</v>
      </c>
      <c r="J101" s="38">
        <f t="shared" si="11"/>
        <v>0</v>
      </c>
      <c r="K101" s="38">
        <f t="shared" si="12"/>
        <v>0</v>
      </c>
    </row>
    <row r="102" spans="1:11" ht="32" customHeight="1">
      <c r="A102" s="21">
        <v>82</v>
      </c>
      <c r="B102" s="89"/>
      <c r="C102" s="89"/>
      <c r="D102" s="40" t="str">
        <f t="shared" si="8"/>
        <v/>
      </c>
      <c r="E102" s="91"/>
      <c r="F102" s="38">
        <f t="shared" si="9"/>
        <v>0</v>
      </c>
      <c r="G102" s="40" t="str">
        <f>IF(AND(B102="",C102="",E102=""),"",IF(OR(B102="",C102="",E102="",E102&lt;0,COUNTIF($A$5:$A$16,B102)=0,SUMIF($A$5:$A$16,B102,$F$5:$F$16)=0),"ERROR - INCOMPLETE",IF(COUNTIFS($B$21:B102,B102,$C$21:C102,C102)&gt;1,"ERROR - DUPLICATE",IF(COUNTIFS('08 Allocation Data'!$A$5:$A$34,D102,'08 Allocation Data'!$C$5:$C$34,"Yes")=0,"ERROR - INACTIVE","OK"))))</f>
        <v/>
      </c>
      <c r="H102" s="89"/>
      <c r="I102" s="38">
        <f t="shared" si="10"/>
        <v>0</v>
      </c>
      <c r="J102" s="38">
        <f t="shared" si="11"/>
        <v>0</v>
      </c>
      <c r="K102" s="38">
        <f t="shared" si="12"/>
        <v>0</v>
      </c>
    </row>
    <row r="103" spans="1:11" ht="32" customHeight="1">
      <c r="A103" s="21">
        <v>83</v>
      </c>
      <c r="B103" s="89"/>
      <c r="C103" s="89"/>
      <c r="D103" s="40" t="str">
        <f t="shared" si="8"/>
        <v/>
      </c>
      <c r="E103" s="91"/>
      <c r="F103" s="38">
        <f t="shared" si="9"/>
        <v>0</v>
      </c>
      <c r="G103" s="40" t="str">
        <f>IF(AND(B103="",C103="",E103=""),"",IF(OR(B103="",C103="",E103="",E103&lt;0,COUNTIF($A$5:$A$16,B103)=0,SUMIF($A$5:$A$16,B103,$F$5:$F$16)=0),"ERROR - INCOMPLETE",IF(COUNTIFS($B$21:B103,B103,$C$21:C103,C103)&gt;1,"ERROR - DUPLICATE",IF(COUNTIFS('08 Allocation Data'!$A$5:$A$34,D103,'08 Allocation Data'!$C$5:$C$34,"Yes")=0,"ERROR - INACTIVE","OK"))))</f>
        <v/>
      </c>
      <c r="H103" s="89"/>
      <c r="I103" s="38">
        <f t="shared" si="10"/>
        <v>0</v>
      </c>
      <c r="J103" s="38">
        <f t="shared" si="11"/>
        <v>0</v>
      </c>
      <c r="K103" s="38">
        <f t="shared" si="12"/>
        <v>0</v>
      </c>
    </row>
    <row r="104" spans="1:11" ht="32" customHeight="1">
      <c r="A104" s="21">
        <v>84</v>
      </c>
      <c r="B104" s="89"/>
      <c r="C104" s="89"/>
      <c r="D104" s="40" t="str">
        <f t="shared" si="8"/>
        <v/>
      </c>
      <c r="E104" s="91"/>
      <c r="F104" s="38">
        <f t="shared" si="9"/>
        <v>0</v>
      </c>
      <c r="G104" s="40" t="str">
        <f>IF(AND(B104="",C104="",E104=""),"",IF(OR(B104="",C104="",E104="",E104&lt;0,COUNTIF($A$5:$A$16,B104)=0,SUMIF($A$5:$A$16,B104,$F$5:$F$16)=0),"ERROR - INCOMPLETE",IF(COUNTIFS($B$21:B104,B104,$C$21:C104,C104)&gt;1,"ERROR - DUPLICATE",IF(COUNTIFS('08 Allocation Data'!$A$5:$A$34,D104,'08 Allocation Data'!$C$5:$C$34,"Yes")=0,"ERROR - INACTIVE","OK"))))</f>
        <v/>
      </c>
      <c r="H104" s="89"/>
      <c r="I104" s="38">
        <f t="shared" si="10"/>
        <v>0</v>
      </c>
      <c r="J104" s="38">
        <f t="shared" si="11"/>
        <v>0</v>
      </c>
      <c r="K104" s="38">
        <f t="shared" si="12"/>
        <v>0</v>
      </c>
    </row>
    <row r="105" spans="1:11" ht="32" customHeight="1">
      <c r="A105" s="21">
        <v>85</v>
      </c>
      <c r="B105" s="89"/>
      <c r="C105" s="89"/>
      <c r="D105" s="40" t="str">
        <f t="shared" si="8"/>
        <v/>
      </c>
      <c r="E105" s="91"/>
      <c r="F105" s="38">
        <f t="shared" si="9"/>
        <v>0</v>
      </c>
      <c r="G105" s="40" t="str">
        <f>IF(AND(B105="",C105="",E105=""),"",IF(OR(B105="",C105="",E105="",E105&lt;0,COUNTIF($A$5:$A$16,B105)=0,SUMIF($A$5:$A$16,B105,$F$5:$F$16)=0),"ERROR - INCOMPLETE",IF(COUNTIFS($B$21:B105,B105,$C$21:C105,C105)&gt;1,"ERROR - DUPLICATE",IF(COUNTIFS('08 Allocation Data'!$A$5:$A$34,D105,'08 Allocation Data'!$C$5:$C$34,"Yes")=0,"ERROR - INACTIVE","OK"))))</f>
        <v/>
      </c>
      <c r="H105" s="89"/>
      <c r="I105" s="38">
        <f t="shared" si="10"/>
        <v>0</v>
      </c>
      <c r="J105" s="38">
        <f t="shared" si="11"/>
        <v>0</v>
      </c>
      <c r="K105" s="38">
        <f t="shared" si="12"/>
        <v>0</v>
      </c>
    </row>
    <row r="106" spans="1:11" ht="32" customHeight="1">
      <c r="A106" s="21">
        <v>86</v>
      </c>
      <c r="B106" s="89"/>
      <c r="C106" s="89"/>
      <c r="D106" s="40" t="str">
        <f t="shared" si="8"/>
        <v/>
      </c>
      <c r="E106" s="91"/>
      <c r="F106" s="38">
        <f t="shared" si="9"/>
        <v>0</v>
      </c>
      <c r="G106" s="40" t="str">
        <f>IF(AND(B106="",C106="",E106=""),"",IF(OR(B106="",C106="",E106="",E106&lt;0,COUNTIF($A$5:$A$16,B106)=0,SUMIF($A$5:$A$16,B106,$F$5:$F$16)=0),"ERROR - INCOMPLETE",IF(COUNTIFS($B$21:B106,B106,$C$21:C106,C106)&gt;1,"ERROR - DUPLICATE",IF(COUNTIFS('08 Allocation Data'!$A$5:$A$34,D106,'08 Allocation Data'!$C$5:$C$34,"Yes")=0,"ERROR - INACTIVE","OK"))))</f>
        <v/>
      </c>
      <c r="H106" s="89"/>
      <c r="I106" s="38">
        <f t="shared" si="10"/>
        <v>0</v>
      </c>
      <c r="J106" s="38">
        <f t="shared" si="11"/>
        <v>0</v>
      </c>
      <c r="K106" s="38">
        <f t="shared" si="12"/>
        <v>0</v>
      </c>
    </row>
    <row r="107" spans="1:11" ht="32" customHeight="1">
      <c r="A107" s="21">
        <v>87</v>
      </c>
      <c r="B107" s="89"/>
      <c r="C107" s="89"/>
      <c r="D107" s="40" t="str">
        <f t="shared" si="8"/>
        <v/>
      </c>
      <c r="E107" s="91"/>
      <c r="F107" s="38">
        <f t="shared" si="9"/>
        <v>0</v>
      </c>
      <c r="G107" s="40" t="str">
        <f>IF(AND(B107="",C107="",E107=""),"",IF(OR(B107="",C107="",E107="",E107&lt;0,COUNTIF($A$5:$A$16,B107)=0,SUMIF($A$5:$A$16,B107,$F$5:$F$16)=0),"ERROR - INCOMPLETE",IF(COUNTIFS($B$21:B107,B107,$C$21:C107,C107)&gt;1,"ERROR - DUPLICATE",IF(COUNTIFS('08 Allocation Data'!$A$5:$A$34,D107,'08 Allocation Data'!$C$5:$C$34,"Yes")=0,"ERROR - INACTIVE","OK"))))</f>
        <v/>
      </c>
      <c r="H107" s="89"/>
      <c r="I107" s="38">
        <f t="shared" si="10"/>
        <v>0</v>
      </c>
      <c r="J107" s="38">
        <f t="shared" si="11"/>
        <v>0</v>
      </c>
      <c r="K107" s="38">
        <f t="shared" si="12"/>
        <v>0</v>
      </c>
    </row>
    <row r="108" spans="1:11" ht="32" customHeight="1">
      <c r="A108" s="21">
        <v>88</v>
      </c>
      <c r="B108" s="89"/>
      <c r="C108" s="89"/>
      <c r="D108" s="40" t="str">
        <f t="shared" si="8"/>
        <v/>
      </c>
      <c r="E108" s="91"/>
      <c r="F108" s="38">
        <f t="shared" si="9"/>
        <v>0</v>
      </c>
      <c r="G108" s="40" t="str">
        <f>IF(AND(B108="",C108="",E108=""),"",IF(OR(B108="",C108="",E108="",E108&lt;0,COUNTIF($A$5:$A$16,B108)=0,SUMIF($A$5:$A$16,B108,$F$5:$F$16)=0),"ERROR - INCOMPLETE",IF(COUNTIFS($B$21:B108,B108,$C$21:C108,C108)&gt;1,"ERROR - DUPLICATE",IF(COUNTIFS('08 Allocation Data'!$A$5:$A$34,D108,'08 Allocation Data'!$C$5:$C$34,"Yes")=0,"ERROR - INACTIVE","OK"))))</f>
        <v/>
      </c>
      <c r="H108" s="89"/>
      <c r="I108" s="38">
        <f t="shared" si="10"/>
        <v>0</v>
      </c>
      <c r="J108" s="38">
        <f t="shared" si="11"/>
        <v>0</v>
      </c>
      <c r="K108" s="38">
        <f t="shared" si="12"/>
        <v>0</v>
      </c>
    </row>
    <row r="109" spans="1:11" ht="32" customHeight="1">
      <c r="A109" s="21">
        <v>89</v>
      </c>
      <c r="B109" s="89"/>
      <c r="C109" s="89"/>
      <c r="D109" s="40" t="str">
        <f t="shared" si="8"/>
        <v/>
      </c>
      <c r="E109" s="91"/>
      <c r="F109" s="38">
        <f t="shared" si="9"/>
        <v>0</v>
      </c>
      <c r="G109" s="40" t="str">
        <f>IF(AND(B109="",C109="",E109=""),"",IF(OR(B109="",C109="",E109="",E109&lt;0,COUNTIF($A$5:$A$16,B109)=0,SUMIF($A$5:$A$16,B109,$F$5:$F$16)=0),"ERROR - INCOMPLETE",IF(COUNTIFS($B$21:B109,B109,$C$21:C109,C109)&gt;1,"ERROR - DUPLICATE",IF(COUNTIFS('08 Allocation Data'!$A$5:$A$34,D109,'08 Allocation Data'!$C$5:$C$34,"Yes")=0,"ERROR - INACTIVE","OK"))))</f>
        <v/>
      </c>
      <c r="H109" s="89"/>
      <c r="I109" s="38">
        <f t="shared" si="10"/>
        <v>0</v>
      </c>
      <c r="J109" s="38">
        <f t="shared" si="11"/>
        <v>0</v>
      </c>
      <c r="K109" s="38">
        <f t="shared" si="12"/>
        <v>0</v>
      </c>
    </row>
    <row r="110" spans="1:11" ht="32" customHeight="1">
      <c r="A110" s="21">
        <v>90</v>
      </c>
      <c r="B110" s="89"/>
      <c r="C110" s="89"/>
      <c r="D110" s="40" t="str">
        <f t="shared" si="8"/>
        <v/>
      </c>
      <c r="E110" s="91"/>
      <c r="F110" s="38">
        <f t="shared" si="9"/>
        <v>0</v>
      </c>
      <c r="G110" s="40" t="str">
        <f>IF(AND(B110="",C110="",E110=""),"",IF(OR(B110="",C110="",E110="",E110&lt;0,COUNTIF($A$5:$A$16,B110)=0,SUMIF($A$5:$A$16,B110,$F$5:$F$16)=0),"ERROR - INCOMPLETE",IF(COUNTIFS($B$21:B110,B110,$C$21:C110,C110)&gt;1,"ERROR - DUPLICATE",IF(COUNTIFS('08 Allocation Data'!$A$5:$A$34,D110,'08 Allocation Data'!$C$5:$C$34,"Yes")=0,"ERROR - INACTIVE","OK"))))</f>
        <v/>
      </c>
      <c r="H110" s="89"/>
      <c r="I110" s="38">
        <f t="shared" si="10"/>
        <v>0</v>
      </c>
      <c r="J110" s="38">
        <f t="shared" si="11"/>
        <v>0</v>
      </c>
      <c r="K110" s="38">
        <f t="shared" si="12"/>
        <v>0</v>
      </c>
    </row>
    <row r="111" spans="1:11" ht="32" customHeight="1">
      <c r="A111" s="21">
        <v>91</v>
      </c>
      <c r="B111" s="89"/>
      <c r="C111" s="89"/>
      <c r="D111" s="40" t="str">
        <f t="shared" si="8"/>
        <v/>
      </c>
      <c r="E111" s="91"/>
      <c r="F111" s="38">
        <f t="shared" si="9"/>
        <v>0</v>
      </c>
      <c r="G111" s="40" t="str">
        <f>IF(AND(B111="",C111="",E111=""),"",IF(OR(B111="",C111="",E111="",E111&lt;0,COUNTIF($A$5:$A$16,B111)=0,SUMIF($A$5:$A$16,B111,$F$5:$F$16)=0),"ERROR - INCOMPLETE",IF(COUNTIFS($B$21:B111,B111,$C$21:C111,C111)&gt;1,"ERROR - DUPLICATE",IF(COUNTIFS('08 Allocation Data'!$A$5:$A$34,D111,'08 Allocation Data'!$C$5:$C$34,"Yes")=0,"ERROR - INACTIVE","OK"))))</f>
        <v/>
      </c>
      <c r="H111" s="89"/>
      <c r="I111" s="38">
        <f t="shared" si="10"/>
        <v>0</v>
      </c>
      <c r="J111" s="38">
        <f t="shared" si="11"/>
        <v>0</v>
      </c>
      <c r="K111" s="38">
        <f t="shared" si="12"/>
        <v>0</v>
      </c>
    </row>
    <row r="112" spans="1:11" ht="32" customHeight="1">
      <c r="A112" s="21">
        <v>92</v>
      </c>
      <c r="B112" s="89"/>
      <c r="C112" s="89"/>
      <c r="D112" s="40" t="str">
        <f t="shared" si="8"/>
        <v/>
      </c>
      <c r="E112" s="91"/>
      <c r="F112" s="38">
        <f t="shared" si="9"/>
        <v>0</v>
      </c>
      <c r="G112" s="40" t="str">
        <f>IF(AND(B112="",C112="",E112=""),"",IF(OR(B112="",C112="",E112="",E112&lt;0,COUNTIF($A$5:$A$16,B112)=0,SUMIF($A$5:$A$16,B112,$F$5:$F$16)=0),"ERROR - INCOMPLETE",IF(COUNTIFS($B$21:B112,B112,$C$21:C112,C112)&gt;1,"ERROR - DUPLICATE",IF(COUNTIFS('08 Allocation Data'!$A$5:$A$34,D112,'08 Allocation Data'!$C$5:$C$34,"Yes")=0,"ERROR - INACTIVE","OK"))))</f>
        <v/>
      </c>
      <c r="H112" s="89"/>
      <c r="I112" s="38">
        <f t="shared" si="10"/>
        <v>0</v>
      </c>
      <c r="J112" s="38">
        <f t="shared" si="11"/>
        <v>0</v>
      </c>
      <c r="K112" s="38">
        <f t="shared" si="12"/>
        <v>0</v>
      </c>
    </row>
    <row r="113" spans="1:11" ht="32" customHeight="1">
      <c r="A113" s="21">
        <v>93</v>
      </c>
      <c r="B113" s="89"/>
      <c r="C113" s="89"/>
      <c r="D113" s="40" t="str">
        <f t="shared" si="8"/>
        <v/>
      </c>
      <c r="E113" s="91"/>
      <c r="F113" s="38">
        <f t="shared" si="9"/>
        <v>0</v>
      </c>
      <c r="G113" s="40" t="str">
        <f>IF(AND(B113="",C113="",E113=""),"",IF(OR(B113="",C113="",E113="",E113&lt;0,COUNTIF($A$5:$A$16,B113)=0,SUMIF($A$5:$A$16,B113,$F$5:$F$16)=0),"ERROR - INCOMPLETE",IF(COUNTIFS($B$21:B113,B113,$C$21:C113,C113)&gt;1,"ERROR - DUPLICATE",IF(COUNTIFS('08 Allocation Data'!$A$5:$A$34,D113,'08 Allocation Data'!$C$5:$C$34,"Yes")=0,"ERROR - INACTIVE","OK"))))</f>
        <v/>
      </c>
      <c r="H113" s="89"/>
      <c r="I113" s="38">
        <f t="shared" si="10"/>
        <v>0</v>
      </c>
      <c r="J113" s="38">
        <f t="shared" si="11"/>
        <v>0</v>
      </c>
      <c r="K113" s="38">
        <f t="shared" si="12"/>
        <v>0</v>
      </c>
    </row>
    <row r="114" spans="1:11" ht="32" customHeight="1">
      <c r="A114" s="21">
        <v>94</v>
      </c>
      <c r="B114" s="89"/>
      <c r="C114" s="89"/>
      <c r="D114" s="40" t="str">
        <f t="shared" si="8"/>
        <v/>
      </c>
      <c r="E114" s="91"/>
      <c r="F114" s="38">
        <f t="shared" si="9"/>
        <v>0</v>
      </c>
      <c r="G114" s="40" t="str">
        <f>IF(AND(B114="",C114="",E114=""),"",IF(OR(B114="",C114="",E114="",E114&lt;0,COUNTIF($A$5:$A$16,B114)=0,SUMIF($A$5:$A$16,B114,$F$5:$F$16)=0),"ERROR - INCOMPLETE",IF(COUNTIFS($B$21:B114,B114,$C$21:C114,C114)&gt;1,"ERROR - DUPLICATE",IF(COUNTIFS('08 Allocation Data'!$A$5:$A$34,D114,'08 Allocation Data'!$C$5:$C$34,"Yes")=0,"ERROR - INACTIVE","OK"))))</f>
        <v/>
      </c>
      <c r="H114" s="89"/>
      <c r="I114" s="38">
        <f t="shared" si="10"/>
        <v>0</v>
      </c>
      <c r="J114" s="38">
        <f t="shared" si="11"/>
        <v>0</v>
      </c>
      <c r="K114" s="38">
        <f t="shared" si="12"/>
        <v>0</v>
      </c>
    </row>
    <row r="115" spans="1:11" ht="32" customHeight="1">
      <c r="A115" s="21">
        <v>95</v>
      </c>
      <c r="B115" s="89"/>
      <c r="C115" s="89"/>
      <c r="D115" s="40" t="str">
        <f t="shared" si="8"/>
        <v/>
      </c>
      <c r="E115" s="91"/>
      <c r="F115" s="38">
        <f t="shared" si="9"/>
        <v>0</v>
      </c>
      <c r="G115" s="40" t="str">
        <f>IF(AND(B115="",C115="",E115=""),"",IF(OR(B115="",C115="",E115="",E115&lt;0,COUNTIF($A$5:$A$16,B115)=0,SUMIF($A$5:$A$16,B115,$F$5:$F$16)=0),"ERROR - INCOMPLETE",IF(COUNTIFS($B$21:B115,B115,$C$21:C115,C115)&gt;1,"ERROR - DUPLICATE",IF(COUNTIFS('08 Allocation Data'!$A$5:$A$34,D115,'08 Allocation Data'!$C$5:$C$34,"Yes")=0,"ERROR - INACTIVE","OK"))))</f>
        <v/>
      </c>
      <c r="H115" s="89"/>
      <c r="I115" s="38">
        <f t="shared" si="10"/>
        <v>0</v>
      </c>
      <c r="J115" s="38">
        <f t="shared" si="11"/>
        <v>0</v>
      </c>
      <c r="K115" s="38">
        <f t="shared" si="12"/>
        <v>0</v>
      </c>
    </row>
    <row r="116" spans="1:11" ht="32" customHeight="1">
      <c r="A116" s="21">
        <v>96</v>
      </c>
      <c r="B116" s="89"/>
      <c r="C116" s="89"/>
      <c r="D116" s="40" t="str">
        <f t="shared" si="8"/>
        <v/>
      </c>
      <c r="E116" s="91"/>
      <c r="F116" s="38">
        <f t="shared" si="9"/>
        <v>0</v>
      </c>
      <c r="G116" s="40" t="str">
        <f>IF(AND(B116="",C116="",E116=""),"",IF(OR(B116="",C116="",E116="",E116&lt;0,COUNTIF($A$5:$A$16,B116)=0,SUMIF($A$5:$A$16,B116,$F$5:$F$16)=0),"ERROR - INCOMPLETE",IF(COUNTIFS($B$21:B116,B116,$C$21:C116,C116)&gt;1,"ERROR - DUPLICATE",IF(COUNTIFS('08 Allocation Data'!$A$5:$A$34,D116,'08 Allocation Data'!$C$5:$C$34,"Yes")=0,"ERROR - INACTIVE","OK"))))</f>
        <v/>
      </c>
      <c r="H116" s="89"/>
      <c r="I116" s="38">
        <f t="shared" si="10"/>
        <v>0</v>
      </c>
      <c r="J116" s="38">
        <f t="shared" si="11"/>
        <v>0</v>
      </c>
      <c r="K116" s="38">
        <f t="shared" si="12"/>
        <v>0</v>
      </c>
    </row>
    <row r="117" spans="1:11" ht="32" customHeight="1">
      <c r="A117" s="21">
        <v>97</v>
      </c>
      <c r="B117" s="89"/>
      <c r="C117" s="89"/>
      <c r="D117" s="40" t="str">
        <f t="shared" si="8"/>
        <v/>
      </c>
      <c r="E117" s="91"/>
      <c r="F117" s="38">
        <f t="shared" si="9"/>
        <v>0</v>
      </c>
      <c r="G117" s="40" t="str">
        <f>IF(AND(B117="",C117="",E117=""),"",IF(OR(B117="",C117="",E117="",E117&lt;0,COUNTIF($A$5:$A$16,B117)=0,SUMIF($A$5:$A$16,B117,$F$5:$F$16)=0),"ERROR - INCOMPLETE",IF(COUNTIFS($B$21:B117,B117,$C$21:C117,C117)&gt;1,"ERROR - DUPLICATE",IF(COUNTIFS('08 Allocation Data'!$A$5:$A$34,D117,'08 Allocation Data'!$C$5:$C$34,"Yes")=0,"ERROR - INACTIVE","OK"))))</f>
        <v/>
      </c>
      <c r="H117" s="89"/>
      <c r="I117" s="38">
        <f t="shared" si="10"/>
        <v>0</v>
      </c>
      <c r="J117" s="38">
        <f t="shared" si="11"/>
        <v>0</v>
      </c>
      <c r="K117" s="38">
        <f t="shared" si="12"/>
        <v>0</v>
      </c>
    </row>
    <row r="118" spans="1:11" ht="32" customHeight="1">
      <c r="A118" s="21">
        <v>98</v>
      </c>
      <c r="B118" s="89"/>
      <c r="C118" s="89"/>
      <c r="D118" s="40" t="str">
        <f t="shared" si="8"/>
        <v/>
      </c>
      <c r="E118" s="91"/>
      <c r="F118" s="38">
        <f t="shared" si="9"/>
        <v>0</v>
      </c>
      <c r="G118" s="40" t="str">
        <f>IF(AND(B118="",C118="",E118=""),"",IF(OR(B118="",C118="",E118="",E118&lt;0,COUNTIF($A$5:$A$16,B118)=0,SUMIF($A$5:$A$16,B118,$F$5:$F$16)=0),"ERROR - INCOMPLETE",IF(COUNTIFS($B$21:B118,B118,$C$21:C118,C118)&gt;1,"ERROR - DUPLICATE",IF(COUNTIFS('08 Allocation Data'!$A$5:$A$34,D118,'08 Allocation Data'!$C$5:$C$34,"Yes")=0,"ERROR - INACTIVE","OK"))))</f>
        <v/>
      </c>
      <c r="H118" s="89"/>
      <c r="I118" s="38">
        <f t="shared" si="10"/>
        <v>0</v>
      </c>
      <c r="J118" s="38">
        <f t="shared" si="11"/>
        <v>0</v>
      </c>
      <c r="K118" s="38">
        <f t="shared" si="12"/>
        <v>0</v>
      </c>
    </row>
    <row r="119" spans="1:11" ht="32" customHeight="1">
      <c r="A119" s="21">
        <v>99</v>
      </c>
      <c r="B119" s="89"/>
      <c r="C119" s="89"/>
      <c r="D119" s="40" t="str">
        <f t="shared" si="8"/>
        <v/>
      </c>
      <c r="E119" s="91"/>
      <c r="F119" s="38">
        <f t="shared" si="9"/>
        <v>0</v>
      </c>
      <c r="G119" s="40" t="str">
        <f>IF(AND(B119="",C119="",E119=""),"",IF(OR(B119="",C119="",E119="",E119&lt;0,COUNTIF($A$5:$A$16,B119)=0,SUMIF($A$5:$A$16,B119,$F$5:$F$16)=0),"ERROR - INCOMPLETE",IF(COUNTIFS($B$21:B119,B119,$C$21:C119,C119)&gt;1,"ERROR - DUPLICATE",IF(COUNTIFS('08 Allocation Data'!$A$5:$A$34,D119,'08 Allocation Data'!$C$5:$C$34,"Yes")=0,"ERROR - INACTIVE","OK"))))</f>
        <v/>
      </c>
      <c r="H119" s="89"/>
      <c r="I119" s="38">
        <f t="shared" si="10"/>
        <v>0</v>
      </c>
      <c r="J119" s="38">
        <f t="shared" si="11"/>
        <v>0</v>
      </c>
      <c r="K119" s="38">
        <f t="shared" si="12"/>
        <v>0</v>
      </c>
    </row>
    <row r="120" spans="1:11" ht="32" customHeight="1">
      <c r="A120" s="21">
        <v>100</v>
      </c>
      <c r="B120" s="89"/>
      <c r="C120" s="89"/>
      <c r="D120" s="40" t="str">
        <f t="shared" si="8"/>
        <v/>
      </c>
      <c r="E120" s="91"/>
      <c r="F120" s="38">
        <f t="shared" si="9"/>
        <v>0</v>
      </c>
      <c r="G120" s="40" t="str">
        <f>IF(AND(B120="",C120="",E120=""),"",IF(OR(B120="",C120="",E120="",E120&lt;0,COUNTIF($A$5:$A$16,B120)=0,SUMIF($A$5:$A$16,B120,$F$5:$F$16)=0),"ERROR - INCOMPLETE",IF(COUNTIFS($B$21:B120,B120,$C$21:C120,C120)&gt;1,"ERROR - DUPLICATE",IF(COUNTIFS('08 Allocation Data'!$A$5:$A$34,D120,'08 Allocation Data'!$C$5:$C$34,"Yes")=0,"ERROR - INACTIVE","OK"))))</f>
        <v/>
      </c>
      <c r="H120" s="89"/>
      <c r="I120" s="38">
        <f t="shared" si="10"/>
        <v>0</v>
      </c>
      <c r="J120" s="38">
        <f t="shared" si="11"/>
        <v>0</v>
      </c>
      <c r="K120" s="38">
        <f t="shared" si="12"/>
        <v>0</v>
      </c>
    </row>
    <row r="121" spans="1:11" ht="32" customHeight="1">
      <c r="A121" s="21">
        <v>101</v>
      </c>
      <c r="B121" s="89"/>
      <c r="C121" s="89"/>
      <c r="D121" s="40" t="str">
        <f t="shared" si="8"/>
        <v/>
      </c>
      <c r="E121" s="91"/>
      <c r="F121" s="38">
        <f t="shared" si="9"/>
        <v>0</v>
      </c>
      <c r="G121" s="40" t="str">
        <f>IF(AND(B121="",C121="",E121=""),"",IF(OR(B121="",C121="",E121="",E121&lt;0,COUNTIF($A$5:$A$16,B121)=0,SUMIF($A$5:$A$16,B121,$F$5:$F$16)=0),"ERROR - INCOMPLETE",IF(COUNTIFS($B$21:B121,B121,$C$21:C121,C121)&gt;1,"ERROR - DUPLICATE",IF(COUNTIFS('08 Allocation Data'!$A$5:$A$34,D121,'08 Allocation Data'!$C$5:$C$34,"Yes")=0,"ERROR - INACTIVE","OK"))))</f>
        <v/>
      </c>
      <c r="H121" s="89"/>
      <c r="I121" s="38">
        <f t="shared" si="10"/>
        <v>0</v>
      </c>
      <c r="J121" s="38">
        <f t="shared" si="11"/>
        <v>0</v>
      </c>
      <c r="K121" s="38">
        <f t="shared" si="12"/>
        <v>0</v>
      </c>
    </row>
    <row r="122" spans="1:11" ht="32" customHeight="1">
      <c r="A122" s="21">
        <v>102</v>
      </c>
      <c r="B122" s="89"/>
      <c r="C122" s="89"/>
      <c r="D122" s="40" t="str">
        <f t="shared" si="8"/>
        <v/>
      </c>
      <c r="E122" s="91"/>
      <c r="F122" s="38">
        <f t="shared" si="9"/>
        <v>0</v>
      </c>
      <c r="G122" s="40" t="str">
        <f>IF(AND(B122="",C122="",E122=""),"",IF(OR(B122="",C122="",E122="",E122&lt;0,COUNTIF($A$5:$A$16,B122)=0,SUMIF($A$5:$A$16,B122,$F$5:$F$16)=0),"ERROR - INCOMPLETE",IF(COUNTIFS($B$21:B122,B122,$C$21:C122,C122)&gt;1,"ERROR - DUPLICATE",IF(COUNTIFS('08 Allocation Data'!$A$5:$A$34,D122,'08 Allocation Data'!$C$5:$C$34,"Yes")=0,"ERROR - INACTIVE","OK"))))</f>
        <v/>
      </c>
      <c r="H122" s="89"/>
      <c r="I122" s="38">
        <f t="shared" si="10"/>
        <v>0</v>
      </c>
      <c r="J122" s="38">
        <f t="shared" si="11"/>
        <v>0</v>
      </c>
      <c r="K122" s="38">
        <f t="shared" si="12"/>
        <v>0</v>
      </c>
    </row>
    <row r="123" spans="1:11" ht="32" customHeight="1">
      <c r="A123" s="21">
        <v>103</v>
      </c>
      <c r="B123" s="89"/>
      <c r="C123" s="89"/>
      <c r="D123" s="40" t="str">
        <f t="shared" si="8"/>
        <v/>
      </c>
      <c r="E123" s="91"/>
      <c r="F123" s="38">
        <f t="shared" si="9"/>
        <v>0</v>
      </c>
      <c r="G123" s="40" t="str">
        <f>IF(AND(B123="",C123="",E123=""),"",IF(OR(B123="",C123="",E123="",E123&lt;0,COUNTIF($A$5:$A$16,B123)=0,SUMIF($A$5:$A$16,B123,$F$5:$F$16)=0),"ERROR - INCOMPLETE",IF(COUNTIFS($B$21:B123,B123,$C$21:C123,C123)&gt;1,"ERROR - DUPLICATE",IF(COUNTIFS('08 Allocation Data'!$A$5:$A$34,D123,'08 Allocation Data'!$C$5:$C$34,"Yes")=0,"ERROR - INACTIVE","OK"))))</f>
        <v/>
      </c>
      <c r="H123" s="89"/>
      <c r="I123" s="38">
        <f t="shared" si="10"/>
        <v>0</v>
      </c>
      <c r="J123" s="38">
        <f t="shared" si="11"/>
        <v>0</v>
      </c>
      <c r="K123" s="38">
        <f t="shared" si="12"/>
        <v>0</v>
      </c>
    </row>
    <row r="124" spans="1:11" ht="32" customHeight="1">
      <c r="A124" s="21">
        <v>104</v>
      </c>
      <c r="B124" s="89"/>
      <c r="C124" s="89"/>
      <c r="D124" s="40" t="str">
        <f t="shared" si="8"/>
        <v/>
      </c>
      <c r="E124" s="91"/>
      <c r="F124" s="38">
        <f t="shared" si="9"/>
        <v>0</v>
      </c>
      <c r="G124" s="40" t="str">
        <f>IF(AND(B124="",C124="",E124=""),"",IF(OR(B124="",C124="",E124="",E124&lt;0,COUNTIF($A$5:$A$16,B124)=0,SUMIF($A$5:$A$16,B124,$F$5:$F$16)=0),"ERROR - INCOMPLETE",IF(COUNTIFS($B$21:B124,B124,$C$21:C124,C124)&gt;1,"ERROR - DUPLICATE",IF(COUNTIFS('08 Allocation Data'!$A$5:$A$34,D124,'08 Allocation Data'!$C$5:$C$34,"Yes")=0,"ERROR - INACTIVE","OK"))))</f>
        <v/>
      </c>
      <c r="H124" s="89"/>
      <c r="I124" s="38">
        <f t="shared" si="10"/>
        <v>0</v>
      </c>
      <c r="J124" s="38">
        <f t="shared" si="11"/>
        <v>0</v>
      </c>
      <c r="K124" s="38">
        <f t="shared" si="12"/>
        <v>0</v>
      </c>
    </row>
    <row r="125" spans="1:11" ht="32" customHeight="1">
      <c r="A125" s="21">
        <v>105</v>
      </c>
      <c r="B125" s="89"/>
      <c r="C125" s="89"/>
      <c r="D125" s="40" t="str">
        <f t="shared" si="8"/>
        <v/>
      </c>
      <c r="E125" s="91"/>
      <c r="F125" s="38">
        <f t="shared" si="9"/>
        <v>0</v>
      </c>
      <c r="G125" s="40" t="str">
        <f>IF(AND(B125="",C125="",E125=""),"",IF(OR(B125="",C125="",E125="",E125&lt;0,COUNTIF($A$5:$A$16,B125)=0,SUMIF($A$5:$A$16,B125,$F$5:$F$16)=0),"ERROR - INCOMPLETE",IF(COUNTIFS($B$21:B125,B125,$C$21:C125,C125)&gt;1,"ERROR - DUPLICATE",IF(COUNTIFS('08 Allocation Data'!$A$5:$A$34,D125,'08 Allocation Data'!$C$5:$C$34,"Yes")=0,"ERROR - INACTIVE","OK"))))</f>
        <v/>
      </c>
      <c r="H125" s="89"/>
      <c r="I125" s="38">
        <f t="shared" si="10"/>
        <v>0</v>
      </c>
      <c r="J125" s="38">
        <f t="shared" si="11"/>
        <v>0</v>
      </c>
      <c r="K125" s="38">
        <f t="shared" si="12"/>
        <v>0</v>
      </c>
    </row>
    <row r="126" spans="1:11" ht="32" customHeight="1">
      <c r="A126" s="21">
        <v>106</v>
      </c>
      <c r="B126" s="89"/>
      <c r="C126" s="89"/>
      <c r="D126" s="40" t="str">
        <f t="shared" si="8"/>
        <v/>
      </c>
      <c r="E126" s="91"/>
      <c r="F126" s="38">
        <f t="shared" si="9"/>
        <v>0</v>
      </c>
      <c r="G126" s="40" t="str">
        <f>IF(AND(B126="",C126="",E126=""),"",IF(OR(B126="",C126="",E126="",E126&lt;0,COUNTIF($A$5:$A$16,B126)=0,SUMIF($A$5:$A$16,B126,$F$5:$F$16)=0),"ERROR - INCOMPLETE",IF(COUNTIFS($B$21:B126,B126,$C$21:C126,C126)&gt;1,"ERROR - DUPLICATE",IF(COUNTIFS('08 Allocation Data'!$A$5:$A$34,D126,'08 Allocation Data'!$C$5:$C$34,"Yes")=0,"ERROR - INACTIVE","OK"))))</f>
        <v/>
      </c>
      <c r="H126" s="89"/>
      <c r="I126" s="38">
        <f t="shared" si="10"/>
        <v>0</v>
      </c>
      <c r="J126" s="38">
        <f t="shared" si="11"/>
        <v>0</v>
      </c>
      <c r="K126" s="38">
        <f t="shared" si="12"/>
        <v>0</v>
      </c>
    </row>
    <row r="127" spans="1:11" ht="32" customHeight="1">
      <c r="A127" s="21">
        <v>107</v>
      </c>
      <c r="B127" s="89"/>
      <c r="C127" s="89"/>
      <c r="D127" s="40" t="str">
        <f t="shared" si="8"/>
        <v/>
      </c>
      <c r="E127" s="91"/>
      <c r="F127" s="38">
        <f t="shared" si="9"/>
        <v>0</v>
      </c>
      <c r="G127" s="40" t="str">
        <f>IF(AND(B127="",C127="",E127=""),"",IF(OR(B127="",C127="",E127="",E127&lt;0,COUNTIF($A$5:$A$16,B127)=0,SUMIF($A$5:$A$16,B127,$F$5:$F$16)=0),"ERROR - INCOMPLETE",IF(COUNTIFS($B$21:B127,B127,$C$21:C127,C127)&gt;1,"ERROR - DUPLICATE",IF(COUNTIFS('08 Allocation Data'!$A$5:$A$34,D127,'08 Allocation Data'!$C$5:$C$34,"Yes")=0,"ERROR - INACTIVE","OK"))))</f>
        <v/>
      </c>
      <c r="H127" s="89"/>
      <c r="I127" s="38">
        <f t="shared" si="10"/>
        <v>0</v>
      </c>
      <c r="J127" s="38">
        <f t="shared" si="11"/>
        <v>0</v>
      </c>
      <c r="K127" s="38">
        <f t="shared" si="12"/>
        <v>0</v>
      </c>
    </row>
    <row r="128" spans="1:11" ht="32" customHeight="1">
      <c r="A128" s="21">
        <v>108</v>
      </c>
      <c r="B128" s="89"/>
      <c r="C128" s="89"/>
      <c r="D128" s="40" t="str">
        <f t="shared" si="8"/>
        <v/>
      </c>
      <c r="E128" s="91"/>
      <c r="F128" s="38">
        <f t="shared" si="9"/>
        <v>0</v>
      </c>
      <c r="G128" s="40" t="str">
        <f>IF(AND(B128="",C128="",E128=""),"",IF(OR(B128="",C128="",E128="",E128&lt;0,COUNTIF($A$5:$A$16,B128)=0,SUMIF($A$5:$A$16,B128,$F$5:$F$16)=0),"ERROR - INCOMPLETE",IF(COUNTIFS($B$21:B128,B128,$C$21:C128,C128)&gt;1,"ERROR - DUPLICATE",IF(COUNTIFS('08 Allocation Data'!$A$5:$A$34,D128,'08 Allocation Data'!$C$5:$C$34,"Yes")=0,"ERROR - INACTIVE","OK"))))</f>
        <v/>
      </c>
      <c r="H128" s="89"/>
      <c r="I128" s="38">
        <f t="shared" si="10"/>
        <v>0</v>
      </c>
      <c r="J128" s="38">
        <f t="shared" si="11"/>
        <v>0</v>
      </c>
      <c r="K128" s="38">
        <f t="shared" si="12"/>
        <v>0</v>
      </c>
    </row>
    <row r="129" spans="1:11" ht="32" customHeight="1">
      <c r="A129" s="21">
        <v>109</v>
      </c>
      <c r="B129" s="89"/>
      <c r="C129" s="89"/>
      <c r="D129" s="40" t="str">
        <f t="shared" si="8"/>
        <v/>
      </c>
      <c r="E129" s="91"/>
      <c r="F129" s="38">
        <f t="shared" si="9"/>
        <v>0</v>
      </c>
      <c r="G129" s="40" t="str">
        <f>IF(AND(B129="",C129="",E129=""),"",IF(OR(B129="",C129="",E129="",E129&lt;0,COUNTIF($A$5:$A$16,B129)=0,SUMIF($A$5:$A$16,B129,$F$5:$F$16)=0),"ERROR - INCOMPLETE",IF(COUNTIFS($B$21:B129,B129,$C$21:C129,C129)&gt;1,"ERROR - DUPLICATE",IF(COUNTIFS('08 Allocation Data'!$A$5:$A$34,D129,'08 Allocation Data'!$C$5:$C$34,"Yes")=0,"ERROR - INACTIVE","OK"))))</f>
        <v/>
      </c>
      <c r="H129" s="89"/>
      <c r="I129" s="38">
        <f t="shared" si="10"/>
        <v>0</v>
      </c>
      <c r="J129" s="38">
        <f t="shared" si="11"/>
        <v>0</v>
      </c>
      <c r="K129" s="38">
        <f t="shared" si="12"/>
        <v>0</v>
      </c>
    </row>
    <row r="130" spans="1:11" ht="32" customHeight="1">
      <c r="A130" s="21">
        <v>110</v>
      </c>
      <c r="B130" s="89"/>
      <c r="C130" s="89"/>
      <c r="D130" s="40" t="str">
        <f t="shared" si="8"/>
        <v/>
      </c>
      <c r="E130" s="91"/>
      <c r="F130" s="38">
        <f t="shared" si="9"/>
        <v>0</v>
      </c>
      <c r="G130" s="40" t="str">
        <f>IF(AND(B130="",C130="",E130=""),"",IF(OR(B130="",C130="",E130="",E130&lt;0,COUNTIF($A$5:$A$16,B130)=0,SUMIF($A$5:$A$16,B130,$F$5:$F$16)=0),"ERROR - INCOMPLETE",IF(COUNTIFS($B$21:B130,B130,$C$21:C130,C130)&gt;1,"ERROR - DUPLICATE",IF(COUNTIFS('08 Allocation Data'!$A$5:$A$34,D130,'08 Allocation Data'!$C$5:$C$34,"Yes")=0,"ERROR - INACTIVE","OK"))))</f>
        <v/>
      </c>
      <c r="H130" s="89"/>
      <c r="I130" s="38">
        <f t="shared" si="10"/>
        <v>0</v>
      </c>
      <c r="J130" s="38">
        <f t="shared" si="11"/>
        <v>0</v>
      </c>
      <c r="K130" s="38">
        <f t="shared" si="12"/>
        <v>0</v>
      </c>
    </row>
    <row r="131" spans="1:11" ht="32" customHeight="1">
      <c r="A131" s="21">
        <v>111</v>
      </c>
      <c r="B131" s="89"/>
      <c r="C131" s="89"/>
      <c r="D131" s="40" t="str">
        <f t="shared" si="8"/>
        <v/>
      </c>
      <c r="E131" s="91"/>
      <c r="F131" s="38">
        <f t="shared" si="9"/>
        <v>0</v>
      </c>
      <c r="G131" s="40" t="str">
        <f>IF(AND(B131="",C131="",E131=""),"",IF(OR(B131="",C131="",E131="",E131&lt;0,COUNTIF($A$5:$A$16,B131)=0,SUMIF($A$5:$A$16,B131,$F$5:$F$16)=0),"ERROR - INCOMPLETE",IF(COUNTIFS($B$21:B131,B131,$C$21:C131,C131)&gt;1,"ERROR - DUPLICATE",IF(COUNTIFS('08 Allocation Data'!$A$5:$A$34,D131,'08 Allocation Data'!$C$5:$C$34,"Yes")=0,"ERROR - INACTIVE","OK"))))</f>
        <v/>
      </c>
      <c r="H131" s="89"/>
      <c r="I131" s="38">
        <f t="shared" si="10"/>
        <v>0</v>
      </c>
      <c r="J131" s="38">
        <f t="shared" si="11"/>
        <v>0</v>
      </c>
      <c r="K131" s="38">
        <f t="shared" si="12"/>
        <v>0</v>
      </c>
    </row>
    <row r="132" spans="1:11" ht="32" customHeight="1">
      <c r="A132" s="21">
        <v>112</v>
      </c>
      <c r="B132" s="89"/>
      <c r="C132" s="89"/>
      <c r="D132" s="40" t="str">
        <f t="shared" si="8"/>
        <v/>
      </c>
      <c r="E132" s="91"/>
      <c r="F132" s="38">
        <f t="shared" si="9"/>
        <v>0</v>
      </c>
      <c r="G132" s="40" t="str">
        <f>IF(AND(B132="",C132="",E132=""),"",IF(OR(B132="",C132="",E132="",E132&lt;0,COUNTIF($A$5:$A$16,B132)=0,SUMIF($A$5:$A$16,B132,$F$5:$F$16)=0),"ERROR - INCOMPLETE",IF(COUNTIFS($B$21:B132,B132,$C$21:C132,C132)&gt;1,"ERROR - DUPLICATE",IF(COUNTIFS('08 Allocation Data'!$A$5:$A$34,D132,'08 Allocation Data'!$C$5:$C$34,"Yes")=0,"ERROR - INACTIVE","OK"))))</f>
        <v/>
      </c>
      <c r="H132" s="89"/>
      <c r="I132" s="38">
        <f t="shared" si="10"/>
        <v>0</v>
      </c>
      <c r="J132" s="38">
        <f t="shared" si="11"/>
        <v>0</v>
      </c>
      <c r="K132" s="38">
        <f t="shared" si="12"/>
        <v>0</v>
      </c>
    </row>
    <row r="133" spans="1:11" ht="32" customHeight="1">
      <c r="A133" s="21">
        <v>113</v>
      </c>
      <c r="B133" s="89"/>
      <c r="C133" s="89"/>
      <c r="D133" s="40" t="str">
        <f t="shared" si="8"/>
        <v/>
      </c>
      <c r="E133" s="91"/>
      <c r="F133" s="38">
        <f t="shared" si="9"/>
        <v>0</v>
      </c>
      <c r="G133" s="40" t="str">
        <f>IF(AND(B133="",C133="",E133=""),"",IF(OR(B133="",C133="",E133="",E133&lt;0,COUNTIF($A$5:$A$16,B133)=0,SUMIF($A$5:$A$16,B133,$F$5:$F$16)=0),"ERROR - INCOMPLETE",IF(COUNTIFS($B$21:B133,B133,$C$21:C133,C133)&gt;1,"ERROR - DUPLICATE",IF(COUNTIFS('08 Allocation Data'!$A$5:$A$34,D133,'08 Allocation Data'!$C$5:$C$34,"Yes")=0,"ERROR - INACTIVE","OK"))))</f>
        <v/>
      </c>
      <c r="H133" s="89"/>
      <c r="I133" s="38">
        <f t="shared" si="10"/>
        <v>0</v>
      </c>
      <c r="J133" s="38">
        <f t="shared" si="11"/>
        <v>0</v>
      </c>
      <c r="K133" s="38">
        <f t="shared" si="12"/>
        <v>0</v>
      </c>
    </row>
    <row r="134" spans="1:11" ht="32" customHeight="1">
      <c r="A134" s="21">
        <v>114</v>
      </c>
      <c r="B134" s="89"/>
      <c r="C134" s="89"/>
      <c r="D134" s="40" t="str">
        <f t="shared" si="8"/>
        <v/>
      </c>
      <c r="E134" s="91"/>
      <c r="F134" s="38">
        <f t="shared" si="9"/>
        <v>0</v>
      </c>
      <c r="G134" s="40" t="str">
        <f>IF(AND(B134="",C134="",E134=""),"",IF(OR(B134="",C134="",E134="",E134&lt;0,COUNTIF($A$5:$A$16,B134)=0,SUMIF($A$5:$A$16,B134,$F$5:$F$16)=0),"ERROR - INCOMPLETE",IF(COUNTIFS($B$21:B134,B134,$C$21:C134,C134)&gt;1,"ERROR - DUPLICATE",IF(COUNTIFS('08 Allocation Data'!$A$5:$A$34,D134,'08 Allocation Data'!$C$5:$C$34,"Yes")=0,"ERROR - INACTIVE","OK"))))</f>
        <v/>
      </c>
      <c r="H134" s="89"/>
      <c r="I134" s="38">
        <f t="shared" si="10"/>
        <v>0</v>
      </c>
      <c r="J134" s="38">
        <f t="shared" si="11"/>
        <v>0</v>
      </c>
      <c r="K134" s="38">
        <f t="shared" si="12"/>
        <v>0</v>
      </c>
    </row>
    <row r="135" spans="1:11" ht="32" customHeight="1">
      <c r="A135" s="21">
        <v>115</v>
      </c>
      <c r="B135" s="89"/>
      <c r="C135" s="89"/>
      <c r="D135" s="40" t="str">
        <f t="shared" si="8"/>
        <v/>
      </c>
      <c r="E135" s="91"/>
      <c r="F135" s="38">
        <f t="shared" si="9"/>
        <v>0</v>
      </c>
      <c r="G135" s="40" t="str">
        <f>IF(AND(B135="",C135="",E135=""),"",IF(OR(B135="",C135="",E135="",E135&lt;0,COUNTIF($A$5:$A$16,B135)=0,SUMIF($A$5:$A$16,B135,$F$5:$F$16)=0),"ERROR - INCOMPLETE",IF(COUNTIFS($B$21:B135,B135,$C$21:C135,C135)&gt;1,"ERROR - DUPLICATE",IF(COUNTIFS('08 Allocation Data'!$A$5:$A$34,D135,'08 Allocation Data'!$C$5:$C$34,"Yes")=0,"ERROR - INACTIVE","OK"))))</f>
        <v/>
      </c>
      <c r="H135" s="89"/>
      <c r="I135" s="38">
        <f t="shared" si="10"/>
        <v>0</v>
      </c>
      <c r="J135" s="38">
        <f t="shared" si="11"/>
        <v>0</v>
      </c>
      <c r="K135" s="38">
        <f t="shared" si="12"/>
        <v>0</v>
      </c>
    </row>
    <row r="136" spans="1:11" ht="32" customHeight="1">
      <c r="A136" s="21">
        <v>116</v>
      </c>
      <c r="B136" s="89"/>
      <c r="C136" s="89"/>
      <c r="D136" s="40" t="str">
        <f t="shared" si="8"/>
        <v/>
      </c>
      <c r="E136" s="91"/>
      <c r="F136" s="38">
        <f t="shared" si="9"/>
        <v>0</v>
      </c>
      <c r="G136" s="40" t="str">
        <f>IF(AND(B136="",C136="",E136=""),"",IF(OR(B136="",C136="",E136="",E136&lt;0,COUNTIF($A$5:$A$16,B136)=0,SUMIF($A$5:$A$16,B136,$F$5:$F$16)=0),"ERROR - INCOMPLETE",IF(COUNTIFS($B$21:B136,B136,$C$21:C136,C136)&gt;1,"ERROR - DUPLICATE",IF(COUNTIFS('08 Allocation Data'!$A$5:$A$34,D136,'08 Allocation Data'!$C$5:$C$34,"Yes")=0,"ERROR - INACTIVE","OK"))))</f>
        <v/>
      </c>
      <c r="H136" s="89"/>
      <c r="I136" s="38">
        <f t="shared" si="10"/>
        <v>0</v>
      </c>
      <c r="J136" s="38">
        <f t="shared" si="11"/>
        <v>0</v>
      </c>
      <c r="K136" s="38">
        <f t="shared" si="12"/>
        <v>0</v>
      </c>
    </row>
    <row r="137" spans="1:11" ht="32" customHeight="1">
      <c r="A137" s="21">
        <v>117</v>
      </c>
      <c r="B137" s="89"/>
      <c r="C137" s="89"/>
      <c r="D137" s="40" t="str">
        <f t="shared" si="8"/>
        <v/>
      </c>
      <c r="E137" s="91"/>
      <c r="F137" s="38">
        <f t="shared" si="9"/>
        <v>0</v>
      </c>
      <c r="G137" s="40" t="str">
        <f>IF(AND(B137="",C137="",E137=""),"",IF(OR(B137="",C137="",E137="",E137&lt;0,COUNTIF($A$5:$A$16,B137)=0,SUMIF($A$5:$A$16,B137,$F$5:$F$16)=0),"ERROR - INCOMPLETE",IF(COUNTIFS($B$21:B137,B137,$C$21:C137,C137)&gt;1,"ERROR - DUPLICATE",IF(COUNTIFS('08 Allocation Data'!$A$5:$A$34,D137,'08 Allocation Data'!$C$5:$C$34,"Yes")=0,"ERROR - INACTIVE","OK"))))</f>
        <v/>
      </c>
      <c r="H137" s="89"/>
      <c r="I137" s="38">
        <f t="shared" si="10"/>
        <v>0</v>
      </c>
      <c r="J137" s="38">
        <f t="shared" si="11"/>
        <v>0</v>
      </c>
      <c r="K137" s="38">
        <f t="shared" si="12"/>
        <v>0</v>
      </c>
    </row>
    <row r="138" spans="1:11" ht="32" customHeight="1">
      <c r="A138" s="21">
        <v>118</v>
      </c>
      <c r="B138" s="89"/>
      <c r="C138" s="89"/>
      <c r="D138" s="40" t="str">
        <f t="shared" si="8"/>
        <v/>
      </c>
      <c r="E138" s="91"/>
      <c r="F138" s="38">
        <f t="shared" si="9"/>
        <v>0</v>
      </c>
      <c r="G138" s="40" t="str">
        <f>IF(AND(B138="",C138="",E138=""),"",IF(OR(B138="",C138="",E138="",E138&lt;0,COUNTIF($A$5:$A$16,B138)=0,SUMIF($A$5:$A$16,B138,$F$5:$F$16)=0),"ERROR - INCOMPLETE",IF(COUNTIFS($B$21:B138,B138,$C$21:C138,C138)&gt;1,"ERROR - DUPLICATE",IF(COUNTIFS('08 Allocation Data'!$A$5:$A$34,D138,'08 Allocation Data'!$C$5:$C$34,"Yes")=0,"ERROR - INACTIVE","OK"))))</f>
        <v/>
      </c>
      <c r="H138" s="89"/>
      <c r="I138" s="38">
        <f t="shared" si="10"/>
        <v>0</v>
      </c>
      <c r="J138" s="38">
        <f t="shared" si="11"/>
        <v>0</v>
      </c>
      <c r="K138" s="38">
        <f t="shared" si="12"/>
        <v>0</v>
      </c>
    </row>
    <row r="139" spans="1:11" ht="32" customHeight="1">
      <c r="A139" s="21">
        <v>119</v>
      </c>
      <c r="B139" s="89"/>
      <c r="C139" s="89"/>
      <c r="D139" s="40" t="str">
        <f t="shared" si="8"/>
        <v/>
      </c>
      <c r="E139" s="91"/>
      <c r="F139" s="38">
        <f t="shared" si="9"/>
        <v>0</v>
      </c>
      <c r="G139" s="40" t="str">
        <f>IF(AND(B139="",C139="",E139=""),"",IF(OR(B139="",C139="",E139="",E139&lt;0,COUNTIF($A$5:$A$16,B139)=0,SUMIF($A$5:$A$16,B139,$F$5:$F$16)=0),"ERROR - INCOMPLETE",IF(COUNTIFS($B$21:B139,B139,$C$21:C139,C139)&gt;1,"ERROR - DUPLICATE",IF(COUNTIFS('08 Allocation Data'!$A$5:$A$34,D139,'08 Allocation Data'!$C$5:$C$34,"Yes")=0,"ERROR - INACTIVE","OK"))))</f>
        <v/>
      </c>
      <c r="H139" s="89"/>
      <c r="I139" s="38">
        <f t="shared" si="10"/>
        <v>0</v>
      </c>
      <c r="J139" s="38">
        <f t="shared" si="11"/>
        <v>0</v>
      </c>
      <c r="K139" s="38">
        <f t="shared" si="12"/>
        <v>0</v>
      </c>
    </row>
    <row r="140" spans="1:11" ht="32" customHeight="1">
      <c r="A140" s="21">
        <v>120</v>
      </c>
      <c r="B140" s="89"/>
      <c r="C140" s="89"/>
      <c r="D140" s="40" t="str">
        <f t="shared" si="8"/>
        <v/>
      </c>
      <c r="E140" s="91"/>
      <c r="F140" s="38">
        <f t="shared" si="9"/>
        <v>0</v>
      </c>
      <c r="G140" s="40" t="str">
        <f>IF(AND(B140="",C140="",E140=""),"",IF(OR(B140="",C140="",E140="",E140&lt;0,COUNTIF($A$5:$A$16,B140)=0,SUMIF($A$5:$A$16,B140,$F$5:$F$16)=0),"ERROR - INCOMPLETE",IF(COUNTIFS($B$21:B140,B140,$C$21:C140,C140)&gt;1,"ERROR - DUPLICATE",IF(COUNTIFS('08 Allocation Data'!$A$5:$A$34,D140,'08 Allocation Data'!$C$5:$C$34,"Yes")=0,"ERROR - INACTIVE","OK"))))</f>
        <v/>
      </c>
      <c r="H140" s="89"/>
      <c r="I140" s="38">
        <f t="shared" si="10"/>
        <v>0</v>
      </c>
      <c r="J140" s="38">
        <f t="shared" si="11"/>
        <v>0</v>
      </c>
      <c r="K140" s="38">
        <f t="shared" si="12"/>
        <v>0</v>
      </c>
    </row>
    <row r="141" spans="1:11" ht="32" customHeight="1">
      <c r="A141" s="21">
        <v>121</v>
      </c>
      <c r="B141" s="89"/>
      <c r="C141" s="89"/>
      <c r="D141" s="40" t="str">
        <f t="shared" si="8"/>
        <v/>
      </c>
      <c r="E141" s="91"/>
      <c r="F141" s="38">
        <f t="shared" si="9"/>
        <v>0</v>
      </c>
      <c r="G141" s="40" t="str">
        <f>IF(AND(B141="",C141="",E141=""),"",IF(OR(B141="",C141="",E141="",E141&lt;0,COUNTIF($A$5:$A$16,B141)=0,SUMIF($A$5:$A$16,B141,$F$5:$F$16)=0),"ERROR - INCOMPLETE",IF(COUNTIFS($B$21:B141,B141,$C$21:C141,C141)&gt;1,"ERROR - DUPLICATE",IF(COUNTIFS('08 Allocation Data'!$A$5:$A$34,D141,'08 Allocation Data'!$C$5:$C$34,"Yes")=0,"ERROR - INACTIVE","OK"))))</f>
        <v/>
      </c>
      <c r="H141" s="89"/>
      <c r="I141" s="38">
        <f t="shared" si="10"/>
        <v>0</v>
      </c>
      <c r="J141" s="38">
        <f t="shared" si="11"/>
        <v>0</v>
      </c>
      <c r="K141" s="38">
        <f t="shared" si="12"/>
        <v>0</v>
      </c>
    </row>
    <row r="142" spans="1:11" ht="32" customHeight="1">
      <c r="A142" s="21">
        <v>122</v>
      </c>
      <c r="B142" s="89"/>
      <c r="C142" s="89"/>
      <c r="D142" s="40" t="str">
        <f t="shared" si="8"/>
        <v/>
      </c>
      <c r="E142" s="91"/>
      <c r="F142" s="38">
        <f t="shared" si="9"/>
        <v>0</v>
      </c>
      <c r="G142" s="40" t="str">
        <f>IF(AND(B142="",C142="",E142=""),"",IF(OR(B142="",C142="",E142="",E142&lt;0,COUNTIF($A$5:$A$16,B142)=0,SUMIF($A$5:$A$16,B142,$F$5:$F$16)=0),"ERROR - INCOMPLETE",IF(COUNTIFS($B$21:B142,B142,$C$21:C142,C142)&gt;1,"ERROR - DUPLICATE",IF(COUNTIFS('08 Allocation Data'!$A$5:$A$34,D142,'08 Allocation Data'!$C$5:$C$34,"Yes")=0,"ERROR - INACTIVE","OK"))))</f>
        <v/>
      </c>
      <c r="H142" s="89"/>
      <c r="I142" s="38">
        <f t="shared" si="10"/>
        <v>0</v>
      </c>
      <c r="J142" s="38">
        <f t="shared" si="11"/>
        <v>0</v>
      </c>
      <c r="K142" s="38">
        <f t="shared" si="12"/>
        <v>0</v>
      </c>
    </row>
    <row r="143" spans="1:11" ht="32" customHeight="1">
      <c r="A143" s="21">
        <v>123</v>
      </c>
      <c r="B143" s="89"/>
      <c r="C143" s="89"/>
      <c r="D143" s="40" t="str">
        <f t="shared" si="8"/>
        <v/>
      </c>
      <c r="E143" s="91"/>
      <c r="F143" s="38">
        <f t="shared" si="9"/>
        <v>0</v>
      </c>
      <c r="G143" s="40" t="str">
        <f>IF(AND(B143="",C143="",E143=""),"",IF(OR(B143="",C143="",E143="",E143&lt;0,COUNTIF($A$5:$A$16,B143)=0,SUMIF($A$5:$A$16,B143,$F$5:$F$16)=0),"ERROR - INCOMPLETE",IF(COUNTIFS($B$21:B143,B143,$C$21:C143,C143)&gt;1,"ERROR - DUPLICATE",IF(COUNTIFS('08 Allocation Data'!$A$5:$A$34,D143,'08 Allocation Data'!$C$5:$C$34,"Yes")=0,"ERROR - INACTIVE","OK"))))</f>
        <v/>
      </c>
      <c r="H143" s="89"/>
      <c r="I143" s="38">
        <f t="shared" si="10"/>
        <v>0</v>
      </c>
      <c r="J143" s="38">
        <f t="shared" si="11"/>
        <v>0</v>
      </c>
      <c r="K143" s="38">
        <f t="shared" si="12"/>
        <v>0</v>
      </c>
    </row>
    <row r="144" spans="1:11" ht="32" customHeight="1">
      <c r="A144" s="21">
        <v>124</v>
      </c>
      <c r="B144" s="89"/>
      <c r="C144" s="89"/>
      <c r="D144" s="40" t="str">
        <f t="shared" si="8"/>
        <v/>
      </c>
      <c r="E144" s="91"/>
      <c r="F144" s="38">
        <f t="shared" si="9"/>
        <v>0</v>
      </c>
      <c r="G144" s="40" t="str">
        <f>IF(AND(B144="",C144="",E144=""),"",IF(OR(B144="",C144="",E144="",E144&lt;0,COUNTIF($A$5:$A$16,B144)=0,SUMIF($A$5:$A$16,B144,$F$5:$F$16)=0),"ERROR - INCOMPLETE",IF(COUNTIFS($B$21:B144,B144,$C$21:C144,C144)&gt;1,"ERROR - DUPLICATE",IF(COUNTIFS('08 Allocation Data'!$A$5:$A$34,D144,'08 Allocation Data'!$C$5:$C$34,"Yes")=0,"ERROR - INACTIVE","OK"))))</f>
        <v/>
      </c>
      <c r="H144" s="89"/>
      <c r="I144" s="38">
        <f t="shared" si="10"/>
        <v>0</v>
      </c>
      <c r="J144" s="38">
        <f t="shared" si="11"/>
        <v>0</v>
      </c>
      <c r="K144" s="38">
        <f t="shared" si="12"/>
        <v>0</v>
      </c>
    </row>
    <row r="145" spans="1:11" ht="32" customHeight="1">
      <c r="A145" s="21">
        <v>125</v>
      </c>
      <c r="B145" s="89"/>
      <c r="C145" s="89"/>
      <c r="D145" s="40" t="str">
        <f t="shared" si="8"/>
        <v/>
      </c>
      <c r="E145" s="91"/>
      <c r="F145" s="38">
        <f t="shared" si="9"/>
        <v>0</v>
      </c>
      <c r="G145" s="40" t="str">
        <f>IF(AND(B145="",C145="",E145=""),"",IF(OR(B145="",C145="",E145="",E145&lt;0,COUNTIF($A$5:$A$16,B145)=0,SUMIF($A$5:$A$16,B145,$F$5:$F$16)=0),"ERROR - INCOMPLETE",IF(COUNTIFS($B$21:B145,B145,$C$21:C145,C145)&gt;1,"ERROR - DUPLICATE",IF(COUNTIFS('08 Allocation Data'!$A$5:$A$34,D145,'08 Allocation Data'!$C$5:$C$34,"Yes")=0,"ERROR - INACTIVE","OK"))))</f>
        <v/>
      </c>
      <c r="H145" s="89"/>
      <c r="I145" s="38">
        <f t="shared" si="10"/>
        <v>0</v>
      </c>
      <c r="J145" s="38">
        <f t="shared" si="11"/>
        <v>0</v>
      </c>
      <c r="K145" s="38">
        <f t="shared" si="12"/>
        <v>0</v>
      </c>
    </row>
    <row r="146" spans="1:11" ht="32" customHeight="1">
      <c r="A146" s="21">
        <v>126</v>
      </c>
      <c r="B146" s="89"/>
      <c r="C146" s="89"/>
      <c r="D146" s="40" t="str">
        <f t="shared" si="8"/>
        <v/>
      </c>
      <c r="E146" s="91"/>
      <c r="F146" s="38">
        <f t="shared" si="9"/>
        <v>0</v>
      </c>
      <c r="G146" s="40" t="str">
        <f>IF(AND(B146="",C146="",E146=""),"",IF(OR(B146="",C146="",E146="",E146&lt;0,COUNTIF($A$5:$A$16,B146)=0,SUMIF($A$5:$A$16,B146,$F$5:$F$16)=0),"ERROR - INCOMPLETE",IF(COUNTIFS($B$21:B146,B146,$C$21:C146,C146)&gt;1,"ERROR - DUPLICATE",IF(COUNTIFS('08 Allocation Data'!$A$5:$A$34,D146,'08 Allocation Data'!$C$5:$C$34,"Yes")=0,"ERROR - INACTIVE","OK"))))</f>
        <v/>
      </c>
      <c r="H146" s="89"/>
      <c r="I146" s="38">
        <f t="shared" si="10"/>
        <v>0</v>
      </c>
      <c r="J146" s="38">
        <f t="shared" si="11"/>
        <v>0</v>
      </c>
      <c r="K146" s="38">
        <f t="shared" si="12"/>
        <v>0</v>
      </c>
    </row>
    <row r="147" spans="1:11" ht="32" customHeight="1">
      <c r="A147" s="21">
        <v>127</v>
      </c>
      <c r="B147" s="89"/>
      <c r="C147" s="89"/>
      <c r="D147" s="40" t="str">
        <f t="shared" si="8"/>
        <v/>
      </c>
      <c r="E147" s="91"/>
      <c r="F147" s="38">
        <f t="shared" si="9"/>
        <v>0</v>
      </c>
      <c r="G147" s="40" t="str">
        <f>IF(AND(B147="",C147="",E147=""),"",IF(OR(B147="",C147="",E147="",E147&lt;0,COUNTIF($A$5:$A$16,B147)=0,SUMIF($A$5:$A$16,B147,$F$5:$F$16)=0),"ERROR - INCOMPLETE",IF(COUNTIFS($B$21:B147,B147,$C$21:C147,C147)&gt;1,"ERROR - DUPLICATE",IF(COUNTIFS('08 Allocation Data'!$A$5:$A$34,D147,'08 Allocation Data'!$C$5:$C$34,"Yes")=0,"ERROR - INACTIVE","OK"))))</f>
        <v/>
      </c>
      <c r="H147" s="89"/>
      <c r="I147" s="38">
        <f t="shared" si="10"/>
        <v>0</v>
      </c>
      <c r="J147" s="38">
        <f t="shared" si="11"/>
        <v>0</v>
      </c>
      <c r="K147" s="38">
        <f t="shared" si="12"/>
        <v>0</v>
      </c>
    </row>
    <row r="148" spans="1:11" ht="32" customHeight="1">
      <c r="A148" s="21">
        <v>128</v>
      </c>
      <c r="B148" s="89"/>
      <c r="C148" s="89"/>
      <c r="D148" s="40" t="str">
        <f t="shared" si="8"/>
        <v/>
      </c>
      <c r="E148" s="91"/>
      <c r="F148" s="38">
        <f t="shared" si="9"/>
        <v>0</v>
      </c>
      <c r="G148" s="40" t="str">
        <f>IF(AND(B148="",C148="",E148=""),"",IF(OR(B148="",C148="",E148="",E148&lt;0,COUNTIF($A$5:$A$16,B148)=0,SUMIF($A$5:$A$16,B148,$F$5:$F$16)=0),"ERROR - INCOMPLETE",IF(COUNTIFS($B$21:B148,B148,$C$21:C148,C148)&gt;1,"ERROR - DUPLICATE",IF(COUNTIFS('08 Allocation Data'!$A$5:$A$34,D148,'08 Allocation Data'!$C$5:$C$34,"Yes")=0,"ERROR - INACTIVE","OK"))))</f>
        <v/>
      </c>
      <c r="H148" s="89"/>
      <c r="I148" s="38">
        <f t="shared" si="10"/>
        <v>0</v>
      </c>
      <c r="J148" s="38">
        <f t="shared" si="11"/>
        <v>0</v>
      </c>
      <c r="K148" s="38">
        <f t="shared" si="12"/>
        <v>0</v>
      </c>
    </row>
    <row r="149" spans="1:11" ht="32" customHeight="1">
      <c r="A149" s="21">
        <v>129</v>
      </c>
      <c r="B149" s="89"/>
      <c r="C149" s="89"/>
      <c r="D149" s="40" t="str">
        <f t="shared" ref="D149:D212" si="13">IF(C149="","",IFERROR(LEFT(C149,FIND(" | ",C149)-1),"INVALID"))</f>
        <v/>
      </c>
      <c r="E149" s="91"/>
      <c r="F149" s="38">
        <f t="shared" ref="F149:F212" si="14">SUM(I149:K149)</f>
        <v>0</v>
      </c>
      <c r="G149" s="40" t="str">
        <f>IF(AND(B149="",C149="",E149=""),"",IF(OR(B149="",C149="",E149="",E149&lt;0,COUNTIF($A$5:$A$16,B149)=0,SUMIF($A$5:$A$16,B149,$F$5:$F$16)=0),"ERROR - INCOMPLETE",IF(COUNTIFS($B$21:B149,B149,$C$21:C149,C149)&gt;1,"ERROR - DUPLICATE",IF(COUNTIFS('08 Allocation Data'!$A$5:$A$34,D149,'08 Allocation Data'!$C$5:$C$34,"Yes")=0,"ERROR - INACTIVE","OK"))))</f>
        <v/>
      </c>
      <c r="H149" s="89"/>
      <c r="I149" s="38">
        <f t="shared" ref="I149:I212" si="15">IF(OR(B149="",C149="",E149=""),0,SUMIF($A$5:$A$16,B149,$C$5:$C$16)*E149)</f>
        <v>0</v>
      </c>
      <c r="J149" s="38">
        <f t="shared" ref="J149:J212" si="16">IF(OR(B149="",C149="",E149=""),0,SUMIF($A$5:$A$16,B149,$D$5:$D$16)*E149)</f>
        <v>0</v>
      </c>
      <c r="K149" s="38">
        <f t="shared" ref="K149:K212" si="17">IF(OR(B149="",C149="",E149=""),0,SUMIF($A$5:$A$16,B149,$E$5:$E$16)*E149)</f>
        <v>0</v>
      </c>
    </row>
    <row r="150" spans="1:11" ht="32" customHeight="1">
      <c r="A150" s="21">
        <v>130</v>
      </c>
      <c r="B150" s="89"/>
      <c r="C150" s="89"/>
      <c r="D150" s="40" t="str">
        <f t="shared" si="13"/>
        <v/>
      </c>
      <c r="E150" s="91"/>
      <c r="F150" s="38">
        <f t="shared" si="14"/>
        <v>0</v>
      </c>
      <c r="G150" s="40" t="str">
        <f>IF(AND(B150="",C150="",E150=""),"",IF(OR(B150="",C150="",E150="",E150&lt;0,COUNTIF($A$5:$A$16,B150)=0,SUMIF($A$5:$A$16,B150,$F$5:$F$16)=0),"ERROR - INCOMPLETE",IF(COUNTIFS($B$21:B150,B150,$C$21:C150,C150)&gt;1,"ERROR - DUPLICATE",IF(COUNTIFS('08 Allocation Data'!$A$5:$A$34,D150,'08 Allocation Data'!$C$5:$C$34,"Yes")=0,"ERROR - INACTIVE","OK"))))</f>
        <v/>
      </c>
      <c r="H150" s="89"/>
      <c r="I150" s="38">
        <f t="shared" si="15"/>
        <v>0</v>
      </c>
      <c r="J150" s="38">
        <f t="shared" si="16"/>
        <v>0</v>
      </c>
      <c r="K150" s="38">
        <f t="shared" si="17"/>
        <v>0</v>
      </c>
    </row>
    <row r="151" spans="1:11" ht="32" customHeight="1">
      <c r="A151" s="21">
        <v>131</v>
      </c>
      <c r="B151" s="89"/>
      <c r="C151" s="89"/>
      <c r="D151" s="40" t="str">
        <f t="shared" si="13"/>
        <v/>
      </c>
      <c r="E151" s="91"/>
      <c r="F151" s="38">
        <f t="shared" si="14"/>
        <v>0</v>
      </c>
      <c r="G151" s="40" t="str">
        <f>IF(AND(B151="",C151="",E151=""),"",IF(OR(B151="",C151="",E151="",E151&lt;0,COUNTIF($A$5:$A$16,B151)=0,SUMIF($A$5:$A$16,B151,$F$5:$F$16)=0),"ERROR - INCOMPLETE",IF(COUNTIFS($B$21:B151,B151,$C$21:C151,C151)&gt;1,"ERROR - DUPLICATE",IF(COUNTIFS('08 Allocation Data'!$A$5:$A$34,D151,'08 Allocation Data'!$C$5:$C$34,"Yes")=0,"ERROR - INACTIVE","OK"))))</f>
        <v/>
      </c>
      <c r="H151" s="89"/>
      <c r="I151" s="38">
        <f t="shared" si="15"/>
        <v>0</v>
      </c>
      <c r="J151" s="38">
        <f t="shared" si="16"/>
        <v>0</v>
      </c>
      <c r="K151" s="38">
        <f t="shared" si="17"/>
        <v>0</v>
      </c>
    </row>
    <row r="152" spans="1:11" ht="32" customHeight="1">
      <c r="A152" s="21">
        <v>132</v>
      </c>
      <c r="B152" s="89"/>
      <c r="C152" s="89"/>
      <c r="D152" s="40" t="str">
        <f t="shared" si="13"/>
        <v/>
      </c>
      <c r="E152" s="91"/>
      <c r="F152" s="38">
        <f t="shared" si="14"/>
        <v>0</v>
      </c>
      <c r="G152" s="40" t="str">
        <f>IF(AND(B152="",C152="",E152=""),"",IF(OR(B152="",C152="",E152="",E152&lt;0,COUNTIF($A$5:$A$16,B152)=0,SUMIF($A$5:$A$16,B152,$F$5:$F$16)=0),"ERROR - INCOMPLETE",IF(COUNTIFS($B$21:B152,B152,$C$21:C152,C152)&gt;1,"ERROR - DUPLICATE",IF(COUNTIFS('08 Allocation Data'!$A$5:$A$34,D152,'08 Allocation Data'!$C$5:$C$34,"Yes")=0,"ERROR - INACTIVE","OK"))))</f>
        <v/>
      </c>
      <c r="H152" s="89"/>
      <c r="I152" s="38">
        <f t="shared" si="15"/>
        <v>0</v>
      </c>
      <c r="J152" s="38">
        <f t="shared" si="16"/>
        <v>0</v>
      </c>
      <c r="K152" s="38">
        <f t="shared" si="17"/>
        <v>0</v>
      </c>
    </row>
    <row r="153" spans="1:11" ht="32" customHeight="1">
      <c r="A153" s="21">
        <v>133</v>
      </c>
      <c r="B153" s="89"/>
      <c r="C153" s="89"/>
      <c r="D153" s="40" t="str">
        <f t="shared" si="13"/>
        <v/>
      </c>
      <c r="E153" s="91"/>
      <c r="F153" s="38">
        <f t="shared" si="14"/>
        <v>0</v>
      </c>
      <c r="G153" s="40" t="str">
        <f>IF(AND(B153="",C153="",E153=""),"",IF(OR(B153="",C153="",E153="",E153&lt;0,COUNTIF($A$5:$A$16,B153)=0,SUMIF($A$5:$A$16,B153,$F$5:$F$16)=0),"ERROR - INCOMPLETE",IF(COUNTIFS($B$21:B153,B153,$C$21:C153,C153)&gt;1,"ERROR - DUPLICATE",IF(COUNTIFS('08 Allocation Data'!$A$5:$A$34,D153,'08 Allocation Data'!$C$5:$C$34,"Yes")=0,"ERROR - INACTIVE","OK"))))</f>
        <v/>
      </c>
      <c r="H153" s="89"/>
      <c r="I153" s="38">
        <f t="shared" si="15"/>
        <v>0</v>
      </c>
      <c r="J153" s="38">
        <f t="shared" si="16"/>
        <v>0</v>
      </c>
      <c r="K153" s="38">
        <f t="shared" si="17"/>
        <v>0</v>
      </c>
    </row>
    <row r="154" spans="1:11" ht="32" customHeight="1">
      <c r="A154" s="21">
        <v>134</v>
      </c>
      <c r="B154" s="89"/>
      <c r="C154" s="89"/>
      <c r="D154" s="40" t="str">
        <f t="shared" si="13"/>
        <v/>
      </c>
      <c r="E154" s="91"/>
      <c r="F154" s="38">
        <f t="shared" si="14"/>
        <v>0</v>
      </c>
      <c r="G154" s="40" t="str">
        <f>IF(AND(B154="",C154="",E154=""),"",IF(OR(B154="",C154="",E154="",E154&lt;0,COUNTIF($A$5:$A$16,B154)=0,SUMIF($A$5:$A$16,B154,$F$5:$F$16)=0),"ERROR - INCOMPLETE",IF(COUNTIFS($B$21:B154,B154,$C$21:C154,C154)&gt;1,"ERROR - DUPLICATE",IF(COUNTIFS('08 Allocation Data'!$A$5:$A$34,D154,'08 Allocation Data'!$C$5:$C$34,"Yes")=0,"ERROR - INACTIVE","OK"))))</f>
        <v/>
      </c>
      <c r="H154" s="89"/>
      <c r="I154" s="38">
        <f t="shared" si="15"/>
        <v>0</v>
      </c>
      <c r="J154" s="38">
        <f t="shared" si="16"/>
        <v>0</v>
      </c>
      <c r="K154" s="38">
        <f t="shared" si="17"/>
        <v>0</v>
      </c>
    </row>
    <row r="155" spans="1:11" ht="32" customHeight="1">
      <c r="A155" s="21">
        <v>135</v>
      </c>
      <c r="B155" s="89"/>
      <c r="C155" s="89"/>
      <c r="D155" s="40" t="str">
        <f t="shared" si="13"/>
        <v/>
      </c>
      <c r="E155" s="91"/>
      <c r="F155" s="38">
        <f t="shared" si="14"/>
        <v>0</v>
      </c>
      <c r="G155" s="40" t="str">
        <f>IF(AND(B155="",C155="",E155=""),"",IF(OR(B155="",C155="",E155="",E155&lt;0,COUNTIF($A$5:$A$16,B155)=0,SUMIF($A$5:$A$16,B155,$F$5:$F$16)=0),"ERROR - INCOMPLETE",IF(COUNTIFS($B$21:B155,B155,$C$21:C155,C155)&gt;1,"ERROR - DUPLICATE",IF(COUNTIFS('08 Allocation Data'!$A$5:$A$34,D155,'08 Allocation Data'!$C$5:$C$34,"Yes")=0,"ERROR - INACTIVE","OK"))))</f>
        <v/>
      </c>
      <c r="H155" s="89"/>
      <c r="I155" s="38">
        <f t="shared" si="15"/>
        <v>0</v>
      </c>
      <c r="J155" s="38">
        <f t="shared" si="16"/>
        <v>0</v>
      </c>
      <c r="K155" s="38">
        <f t="shared" si="17"/>
        <v>0</v>
      </c>
    </row>
    <row r="156" spans="1:11" ht="32" customHeight="1">
      <c r="A156" s="21">
        <v>136</v>
      </c>
      <c r="B156" s="89"/>
      <c r="C156" s="89"/>
      <c r="D156" s="40" t="str">
        <f t="shared" si="13"/>
        <v/>
      </c>
      <c r="E156" s="91"/>
      <c r="F156" s="38">
        <f t="shared" si="14"/>
        <v>0</v>
      </c>
      <c r="G156" s="40" t="str">
        <f>IF(AND(B156="",C156="",E156=""),"",IF(OR(B156="",C156="",E156="",E156&lt;0,COUNTIF($A$5:$A$16,B156)=0,SUMIF($A$5:$A$16,B156,$F$5:$F$16)=0),"ERROR - INCOMPLETE",IF(COUNTIFS($B$21:B156,B156,$C$21:C156,C156)&gt;1,"ERROR - DUPLICATE",IF(COUNTIFS('08 Allocation Data'!$A$5:$A$34,D156,'08 Allocation Data'!$C$5:$C$34,"Yes")=0,"ERROR - INACTIVE","OK"))))</f>
        <v/>
      </c>
      <c r="H156" s="89"/>
      <c r="I156" s="38">
        <f t="shared" si="15"/>
        <v>0</v>
      </c>
      <c r="J156" s="38">
        <f t="shared" si="16"/>
        <v>0</v>
      </c>
      <c r="K156" s="38">
        <f t="shared" si="17"/>
        <v>0</v>
      </c>
    </row>
    <row r="157" spans="1:11" ht="32" customHeight="1">
      <c r="A157" s="21">
        <v>137</v>
      </c>
      <c r="B157" s="89"/>
      <c r="C157" s="89"/>
      <c r="D157" s="40" t="str">
        <f t="shared" si="13"/>
        <v/>
      </c>
      <c r="E157" s="91"/>
      <c r="F157" s="38">
        <f t="shared" si="14"/>
        <v>0</v>
      </c>
      <c r="G157" s="40" t="str">
        <f>IF(AND(B157="",C157="",E157=""),"",IF(OR(B157="",C157="",E157="",E157&lt;0,COUNTIF($A$5:$A$16,B157)=0,SUMIF($A$5:$A$16,B157,$F$5:$F$16)=0),"ERROR - INCOMPLETE",IF(COUNTIFS($B$21:B157,B157,$C$21:C157,C157)&gt;1,"ERROR - DUPLICATE",IF(COUNTIFS('08 Allocation Data'!$A$5:$A$34,D157,'08 Allocation Data'!$C$5:$C$34,"Yes")=0,"ERROR - INACTIVE","OK"))))</f>
        <v/>
      </c>
      <c r="H157" s="89"/>
      <c r="I157" s="38">
        <f t="shared" si="15"/>
        <v>0</v>
      </c>
      <c r="J157" s="38">
        <f t="shared" si="16"/>
        <v>0</v>
      </c>
      <c r="K157" s="38">
        <f t="shared" si="17"/>
        <v>0</v>
      </c>
    </row>
    <row r="158" spans="1:11" ht="32" customHeight="1">
      <c r="A158" s="21">
        <v>138</v>
      </c>
      <c r="B158" s="89"/>
      <c r="C158" s="89"/>
      <c r="D158" s="40" t="str">
        <f t="shared" si="13"/>
        <v/>
      </c>
      <c r="E158" s="91"/>
      <c r="F158" s="38">
        <f t="shared" si="14"/>
        <v>0</v>
      </c>
      <c r="G158" s="40" t="str">
        <f>IF(AND(B158="",C158="",E158=""),"",IF(OR(B158="",C158="",E158="",E158&lt;0,COUNTIF($A$5:$A$16,B158)=0,SUMIF($A$5:$A$16,B158,$F$5:$F$16)=0),"ERROR - INCOMPLETE",IF(COUNTIFS($B$21:B158,B158,$C$21:C158,C158)&gt;1,"ERROR - DUPLICATE",IF(COUNTIFS('08 Allocation Data'!$A$5:$A$34,D158,'08 Allocation Data'!$C$5:$C$34,"Yes")=0,"ERROR - INACTIVE","OK"))))</f>
        <v/>
      </c>
      <c r="H158" s="89"/>
      <c r="I158" s="38">
        <f t="shared" si="15"/>
        <v>0</v>
      </c>
      <c r="J158" s="38">
        <f t="shared" si="16"/>
        <v>0</v>
      </c>
      <c r="K158" s="38">
        <f t="shared" si="17"/>
        <v>0</v>
      </c>
    </row>
    <row r="159" spans="1:11" ht="32" customHeight="1">
      <c r="A159" s="21">
        <v>139</v>
      </c>
      <c r="B159" s="89"/>
      <c r="C159" s="89"/>
      <c r="D159" s="40" t="str">
        <f t="shared" si="13"/>
        <v/>
      </c>
      <c r="E159" s="91"/>
      <c r="F159" s="38">
        <f t="shared" si="14"/>
        <v>0</v>
      </c>
      <c r="G159" s="40" t="str">
        <f>IF(AND(B159="",C159="",E159=""),"",IF(OR(B159="",C159="",E159="",E159&lt;0,COUNTIF($A$5:$A$16,B159)=0,SUMIF($A$5:$A$16,B159,$F$5:$F$16)=0),"ERROR - INCOMPLETE",IF(COUNTIFS($B$21:B159,B159,$C$21:C159,C159)&gt;1,"ERROR - DUPLICATE",IF(COUNTIFS('08 Allocation Data'!$A$5:$A$34,D159,'08 Allocation Data'!$C$5:$C$34,"Yes")=0,"ERROR - INACTIVE","OK"))))</f>
        <v/>
      </c>
      <c r="H159" s="89"/>
      <c r="I159" s="38">
        <f t="shared" si="15"/>
        <v>0</v>
      </c>
      <c r="J159" s="38">
        <f t="shared" si="16"/>
        <v>0</v>
      </c>
      <c r="K159" s="38">
        <f t="shared" si="17"/>
        <v>0</v>
      </c>
    </row>
    <row r="160" spans="1:11" ht="32" customHeight="1">
      <c r="A160" s="21">
        <v>140</v>
      </c>
      <c r="B160" s="89"/>
      <c r="C160" s="89"/>
      <c r="D160" s="40" t="str">
        <f t="shared" si="13"/>
        <v/>
      </c>
      <c r="E160" s="91"/>
      <c r="F160" s="38">
        <f t="shared" si="14"/>
        <v>0</v>
      </c>
      <c r="G160" s="40" t="str">
        <f>IF(AND(B160="",C160="",E160=""),"",IF(OR(B160="",C160="",E160="",E160&lt;0,COUNTIF($A$5:$A$16,B160)=0,SUMIF($A$5:$A$16,B160,$F$5:$F$16)=0),"ERROR - INCOMPLETE",IF(COUNTIFS($B$21:B160,B160,$C$21:C160,C160)&gt;1,"ERROR - DUPLICATE",IF(COUNTIFS('08 Allocation Data'!$A$5:$A$34,D160,'08 Allocation Data'!$C$5:$C$34,"Yes")=0,"ERROR - INACTIVE","OK"))))</f>
        <v/>
      </c>
      <c r="H160" s="89"/>
      <c r="I160" s="38">
        <f t="shared" si="15"/>
        <v>0</v>
      </c>
      <c r="J160" s="38">
        <f t="shared" si="16"/>
        <v>0</v>
      </c>
      <c r="K160" s="38">
        <f t="shared" si="17"/>
        <v>0</v>
      </c>
    </row>
    <row r="161" spans="1:11" ht="32" customHeight="1">
      <c r="A161" s="21">
        <v>141</v>
      </c>
      <c r="B161" s="89"/>
      <c r="C161" s="89"/>
      <c r="D161" s="40" t="str">
        <f t="shared" si="13"/>
        <v/>
      </c>
      <c r="E161" s="91"/>
      <c r="F161" s="38">
        <f t="shared" si="14"/>
        <v>0</v>
      </c>
      <c r="G161" s="40" t="str">
        <f>IF(AND(B161="",C161="",E161=""),"",IF(OR(B161="",C161="",E161="",E161&lt;0,COUNTIF($A$5:$A$16,B161)=0,SUMIF($A$5:$A$16,B161,$F$5:$F$16)=0),"ERROR - INCOMPLETE",IF(COUNTIFS($B$21:B161,B161,$C$21:C161,C161)&gt;1,"ERROR - DUPLICATE",IF(COUNTIFS('08 Allocation Data'!$A$5:$A$34,D161,'08 Allocation Data'!$C$5:$C$34,"Yes")=0,"ERROR - INACTIVE","OK"))))</f>
        <v/>
      </c>
      <c r="H161" s="89"/>
      <c r="I161" s="38">
        <f t="shared" si="15"/>
        <v>0</v>
      </c>
      <c r="J161" s="38">
        <f t="shared" si="16"/>
        <v>0</v>
      </c>
      <c r="K161" s="38">
        <f t="shared" si="17"/>
        <v>0</v>
      </c>
    </row>
    <row r="162" spans="1:11" ht="32" customHeight="1">
      <c r="A162" s="21">
        <v>142</v>
      </c>
      <c r="B162" s="89"/>
      <c r="C162" s="89"/>
      <c r="D162" s="40" t="str">
        <f t="shared" si="13"/>
        <v/>
      </c>
      <c r="E162" s="91"/>
      <c r="F162" s="38">
        <f t="shared" si="14"/>
        <v>0</v>
      </c>
      <c r="G162" s="40" t="str">
        <f>IF(AND(B162="",C162="",E162=""),"",IF(OR(B162="",C162="",E162="",E162&lt;0,COUNTIF($A$5:$A$16,B162)=0,SUMIF($A$5:$A$16,B162,$F$5:$F$16)=0),"ERROR - INCOMPLETE",IF(COUNTIFS($B$21:B162,B162,$C$21:C162,C162)&gt;1,"ERROR - DUPLICATE",IF(COUNTIFS('08 Allocation Data'!$A$5:$A$34,D162,'08 Allocation Data'!$C$5:$C$34,"Yes")=0,"ERROR - INACTIVE","OK"))))</f>
        <v/>
      </c>
      <c r="H162" s="89"/>
      <c r="I162" s="38">
        <f t="shared" si="15"/>
        <v>0</v>
      </c>
      <c r="J162" s="38">
        <f t="shared" si="16"/>
        <v>0</v>
      </c>
      <c r="K162" s="38">
        <f t="shared" si="17"/>
        <v>0</v>
      </c>
    </row>
    <row r="163" spans="1:11" ht="32" customHeight="1">
      <c r="A163" s="21">
        <v>143</v>
      </c>
      <c r="B163" s="89"/>
      <c r="C163" s="89"/>
      <c r="D163" s="40" t="str">
        <f t="shared" si="13"/>
        <v/>
      </c>
      <c r="E163" s="91"/>
      <c r="F163" s="38">
        <f t="shared" si="14"/>
        <v>0</v>
      </c>
      <c r="G163" s="40" t="str">
        <f>IF(AND(B163="",C163="",E163=""),"",IF(OR(B163="",C163="",E163="",E163&lt;0,COUNTIF($A$5:$A$16,B163)=0,SUMIF($A$5:$A$16,B163,$F$5:$F$16)=0),"ERROR - INCOMPLETE",IF(COUNTIFS($B$21:B163,B163,$C$21:C163,C163)&gt;1,"ERROR - DUPLICATE",IF(COUNTIFS('08 Allocation Data'!$A$5:$A$34,D163,'08 Allocation Data'!$C$5:$C$34,"Yes")=0,"ERROR - INACTIVE","OK"))))</f>
        <v/>
      </c>
      <c r="H163" s="89"/>
      <c r="I163" s="38">
        <f t="shared" si="15"/>
        <v>0</v>
      </c>
      <c r="J163" s="38">
        <f t="shared" si="16"/>
        <v>0</v>
      </c>
      <c r="K163" s="38">
        <f t="shared" si="17"/>
        <v>0</v>
      </c>
    </row>
    <row r="164" spans="1:11" ht="32" customHeight="1">
      <c r="A164" s="21">
        <v>144</v>
      </c>
      <c r="B164" s="89"/>
      <c r="C164" s="89"/>
      <c r="D164" s="40" t="str">
        <f t="shared" si="13"/>
        <v/>
      </c>
      <c r="E164" s="91"/>
      <c r="F164" s="38">
        <f t="shared" si="14"/>
        <v>0</v>
      </c>
      <c r="G164" s="40" t="str">
        <f>IF(AND(B164="",C164="",E164=""),"",IF(OR(B164="",C164="",E164="",E164&lt;0,COUNTIF($A$5:$A$16,B164)=0,SUMIF($A$5:$A$16,B164,$F$5:$F$16)=0),"ERROR - INCOMPLETE",IF(COUNTIFS($B$21:B164,B164,$C$21:C164,C164)&gt;1,"ERROR - DUPLICATE",IF(COUNTIFS('08 Allocation Data'!$A$5:$A$34,D164,'08 Allocation Data'!$C$5:$C$34,"Yes")=0,"ERROR - INACTIVE","OK"))))</f>
        <v/>
      </c>
      <c r="H164" s="89"/>
      <c r="I164" s="38">
        <f t="shared" si="15"/>
        <v>0</v>
      </c>
      <c r="J164" s="38">
        <f t="shared" si="16"/>
        <v>0</v>
      </c>
      <c r="K164" s="38">
        <f t="shared" si="17"/>
        <v>0</v>
      </c>
    </row>
    <row r="165" spans="1:11" ht="32" customHeight="1">
      <c r="A165" s="21">
        <v>145</v>
      </c>
      <c r="B165" s="89"/>
      <c r="C165" s="89"/>
      <c r="D165" s="40" t="str">
        <f t="shared" si="13"/>
        <v/>
      </c>
      <c r="E165" s="91"/>
      <c r="F165" s="38">
        <f t="shared" si="14"/>
        <v>0</v>
      </c>
      <c r="G165" s="40" t="str">
        <f>IF(AND(B165="",C165="",E165=""),"",IF(OR(B165="",C165="",E165="",E165&lt;0,COUNTIF($A$5:$A$16,B165)=0,SUMIF($A$5:$A$16,B165,$F$5:$F$16)=0),"ERROR - INCOMPLETE",IF(COUNTIFS($B$21:B165,B165,$C$21:C165,C165)&gt;1,"ERROR - DUPLICATE",IF(COUNTIFS('08 Allocation Data'!$A$5:$A$34,D165,'08 Allocation Data'!$C$5:$C$34,"Yes")=0,"ERROR - INACTIVE","OK"))))</f>
        <v/>
      </c>
      <c r="H165" s="89"/>
      <c r="I165" s="38">
        <f t="shared" si="15"/>
        <v>0</v>
      </c>
      <c r="J165" s="38">
        <f t="shared" si="16"/>
        <v>0</v>
      </c>
      <c r="K165" s="38">
        <f t="shared" si="17"/>
        <v>0</v>
      </c>
    </row>
    <row r="166" spans="1:11" ht="32" customHeight="1">
      <c r="A166" s="21">
        <v>146</v>
      </c>
      <c r="B166" s="89"/>
      <c r="C166" s="89"/>
      <c r="D166" s="40" t="str">
        <f t="shared" si="13"/>
        <v/>
      </c>
      <c r="E166" s="91"/>
      <c r="F166" s="38">
        <f t="shared" si="14"/>
        <v>0</v>
      </c>
      <c r="G166" s="40" t="str">
        <f>IF(AND(B166="",C166="",E166=""),"",IF(OR(B166="",C166="",E166="",E166&lt;0,COUNTIF($A$5:$A$16,B166)=0,SUMIF($A$5:$A$16,B166,$F$5:$F$16)=0),"ERROR - INCOMPLETE",IF(COUNTIFS($B$21:B166,B166,$C$21:C166,C166)&gt;1,"ERROR - DUPLICATE",IF(COUNTIFS('08 Allocation Data'!$A$5:$A$34,D166,'08 Allocation Data'!$C$5:$C$34,"Yes")=0,"ERROR - INACTIVE","OK"))))</f>
        <v/>
      </c>
      <c r="H166" s="89"/>
      <c r="I166" s="38">
        <f t="shared" si="15"/>
        <v>0</v>
      </c>
      <c r="J166" s="38">
        <f t="shared" si="16"/>
        <v>0</v>
      </c>
      <c r="K166" s="38">
        <f t="shared" si="17"/>
        <v>0</v>
      </c>
    </row>
    <row r="167" spans="1:11" ht="32" customHeight="1">
      <c r="A167" s="21">
        <v>147</v>
      </c>
      <c r="B167" s="89"/>
      <c r="C167" s="89"/>
      <c r="D167" s="40" t="str">
        <f t="shared" si="13"/>
        <v/>
      </c>
      <c r="E167" s="91"/>
      <c r="F167" s="38">
        <f t="shared" si="14"/>
        <v>0</v>
      </c>
      <c r="G167" s="40" t="str">
        <f>IF(AND(B167="",C167="",E167=""),"",IF(OR(B167="",C167="",E167="",E167&lt;0,COUNTIF($A$5:$A$16,B167)=0,SUMIF($A$5:$A$16,B167,$F$5:$F$16)=0),"ERROR - INCOMPLETE",IF(COUNTIFS($B$21:B167,B167,$C$21:C167,C167)&gt;1,"ERROR - DUPLICATE",IF(COUNTIFS('08 Allocation Data'!$A$5:$A$34,D167,'08 Allocation Data'!$C$5:$C$34,"Yes")=0,"ERROR - INACTIVE","OK"))))</f>
        <v/>
      </c>
      <c r="H167" s="89"/>
      <c r="I167" s="38">
        <f t="shared" si="15"/>
        <v>0</v>
      </c>
      <c r="J167" s="38">
        <f t="shared" si="16"/>
        <v>0</v>
      </c>
      <c r="K167" s="38">
        <f t="shared" si="17"/>
        <v>0</v>
      </c>
    </row>
    <row r="168" spans="1:11" ht="32" customHeight="1">
      <c r="A168" s="21">
        <v>148</v>
      </c>
      <c r="B168" s="89"/>
      <c r="C168" s="89"/>
      <c r="D168" s="40" t="str">
        <f t="shared" si="13"/>
        <v/>
      </c>
      <c r="E168" s="91"/>
      <c r="F168" s="38">
        <f t="shared" si="14"/>
        <v>0</v>
      </c>
      <c r="G168" s="40" t="str">
        <f>IF(AND(B168="",C168="",E168=""),"",IF(OR(B168="",C168="",E168="",E168&lt;0,COUNTIF($A$5:$A$16,B168)=0,SUMIF($A$5:$A$16,B168,$F$5:$F$16)=0),"ERROR - INCOMPLETE",IF(COUNTIFS($B$21:B168,B168,$C$21:C168,C168)&gt;1,"ERROR - DUPLICATE",IF(COUNTIFS('08 Allocation Data'!$A$5:$A$34,D168,'08 Allocation Data'!$C$5:$C$34,"Yes")=0,"ERROR - INACTIVE","OK"))))</f>
        <v/>
      </c>
      <c r="H168" s="89"/>
      <c r="I168" s="38">
        <f t="shared" si="15"/>
        <v>0</v>
      </c>
      <c r="J168" s="38">
        <f t="shared" si="16"/>
        <v>0</v>
      </c>
      <c r="K168" s="38">
        <f t="shared" si="17"/>
        <v>0</v>
      </c>
    </row>
    <row r="169" spans="1:11" ht="32" customHeight="1">
      <c r="A169" s="21">
        <v>149</v>
      </c>
      <c r="B169" s="89"/>
      <c r="C169" s="89"/>
      <c r="D169" s="40" t="str">
        <f t="shared" si="13"/>
        <v/>
      </c>
      <c r="E169" s="91"/>
      <c r="F169" s="38">
        <f t="shared" si="14"/>
        <v>0</v>
      </c>
      <c r="G169" s="40" t="str">
        <f>IF(AND(B169="",C169="",E169=""),"",IF(OR(B169="",C169="",E169="",E169&lt;0,COUNTIF($A$5:$A$16,B169)=0,SUMIF($A$5:$A$16,B169,$F$5:$F$16)=0),"ERROR - INCOMPLETE",IF(COUNTIFS($B$21:B169,B169,$C$21:C169,C169)&gt;1,"ERROR - DUPLICATE",IF(COUNTIFS('08 Allocation Data'!$A$5:$A$34,D169,'08 Allocation Data'!$C$5:$C$34,"Yes")=0,"ERROR - INACTIVE","OK"))))</f>
        <v/>
      </c>
      <c r="H169" s="89"/>
      <c r="I169" s="38">
        <f t="shared" si="15"/>
        <v>0</v>
      </c>
      <c r="J169" s="38">
        <f t="shared" si="16"/>
        <v>0</v>
      </c>
      <c r="K169" s="38">
        <f t="shared" si="17"/>
        <v>0</v>
      </c>
    </row>
    <row r="170" spans="1:11" ht="32" customHeight="1">
      <c r="A170" s="21">
        <v>150</v>
      </c>
      <c r="B170" s="89"/>
      <c r="C170" s="89"/>
      <c r="D170" s="40" t="str">
        <f t="shared" si="13"/>
        <v/>
      </c>
      <c r="E170" s="91"/>
      <c r="F170" s="38">
        <f t="shared" si="14"/>
        <v>0</v>
      </c>
      <c r="G170" s="40" t="str">
        <f>IF(AND(B170="",C170="",E170=""),"",IF(OR(B170="",C170="",E170="",E170&lt;0,COUNTIF($A$5:$A$16,B170)=0,SUMIF($A$5:$A$16,B170,$F$5:$F$16)=0),"ERROR - INCOMPLETE",IF(COUNTIFS($B$21:B170,B170,$C$21:C170,C170)&gt;1,"ERROR - DUPLICATE",IF(COUNTIFS('08 Allocation Data'!$A$5:$A$34,D170,'08 Allocation Data'!$C$5:$C$34,"Yes")=0,"ERROR - INACTIVE","OK"))))</f>
        <v/>
      </c>
      <c r="H170" s="89"/>
      <c r="I170" s="38">
        <f t="shared" si="15"/>
        <v>0</v>
      </c>
      <c r="J170" s="38">
        <f t="shared" si="16"/>
        <v>0</v>
      </c>
      <c r="K170" s="38">
        <f t="shared" si="17"/>
        <v>0</v>
      </c>
    </row>
    <row r="171" spans="1:11" ht="32" customHeight="1">
      <c r="A171" s="21">
        <v>151</v>
      </c>
      <c r="B171" s="89"/>
      <c r="C171" s="89"/>
      <c r="D171" s="40" t="str">
        <f t="shared" si="13"/>
        <v/>
      </c>
      <c r="E171" s="91"/>
      <c r="F171" s="38">
        <f t="shared" si="14"/>
        <v>0</v>
      </c>
      <c r="G171" s="40" t="str">
        <f>IF(AND(B171="",C171="",E171=""),"",IF(OR(B171="",C171="",E171="",E171&lt;0,COUNTIF($A$5:$A$16,B171)=0,SUMIF($A$5:$A$16,B171,$F$5:$F$16)=0),"ERROR - INCOMPLETE",IF(COUNTIFS($B$21:B171,B171,$C$21:C171,C171)&gt;1,"ERROR - DUPLICATE",IF(COUNTIFS('08 Allocation Data'!$A$5:$A$34,D171,'08 Allocation Data'!$C$5:$C$34,"Yes")=0,"ERROR - INACTIVE","OK"))))</f>
        <v/>
      </c>
      <c r="H171" s="89"/>
      <c r="I171" s="38">
        <f t="shared" si="15"/>
        <v>0</v>
      </c>
      <c r="J171" s="38">
        <f t="shared" si="16"/>
        <v>0</v>
      </c>
      <c r="K171" s="38">
        <f t="shared" si="17"/>
        <v>0</v>
      </c>
    </row>
    <row r="172" spans="1:11" ht="32" customHeight="1">
      <c r="A172" s="21">
        <v>152</v>
      </c>
      <c r="B172" s="89"/>
      <c r="C172" s="89"/>
      <c r="D172" s="40" t="str">
        <f t="shared" si="13"/>
        <v/>
      </c>
      <c r="E172" s="91"/>
      <c r="F172" s="38">
        <f t="shared" si="14"/>
        <v>0</v>
      </c>
      <c r="G172" s="40" t="str">
        <f>IF(AND(B172="",C172="",E172=""),"",IF(OR(B172="",C172="",E172="",E172&lt;0,COUNTIF($A$5:$A$16,B172)=0,SUMIF($A$5:$A$16,B172,$F$5:$F$16)=0),"ERROR - INCOMPLETE",IF(COUNTIFS($B$21:B172,B172,$C$21:C172,C172)&gt;1,"ERROR - DUPLICATE",IF(COUNTIFS('08 Allocation Data'!$A$5:$A$34,D172,'08 Allocation Data'!$C$5:$C$34,"Yes")=0,"ERROR - INACTIVE","OK"))))</f>
        <v/>
      </c>
      <c r="H172" s="89"/>
      <c r="I172" s="38">
        <f t="shared" si="15"/>
        <v>0</v>
      </c>
      <c r="J172" s="38">
        <f t="shared" si="16"/>
        <v>0</v>
      </c>
      <c r="K172" s="38">
        <f t="shared" si="17"/>
        <v>0</v>
      </c>
    </row>
    <row r="173" spans="1:11" ht="32" customHeight="1">
      <c r="A173" s="21">
        <v>153</v>
      </c>
      <c r="B173" s="89"/>
      <c r="C173" s="89"/>
      <c r="D173" s="40" t="str">
        <f t="shared" si="13"/>
        <v/>
      </c>
      <c r="E173" s="91"/>
      <c r="F173" s="38">
        <f t="shared" si="14"/>
        <v>0</v>
      </c>
      <c r="G173" s="40" t="str">
        <f>IF(AND(B173="",C173="",E173=""),"",IF(OR(B173="",C173="",E173="",E173&lt;0,COUNTIF($A$5:$A$16,B173)=0,SUMIF($A$5:$A$16,B173,$F$5:$F$16)=0),"ERROR - INCOMPLETE",IF(COUNTIFS($B$21:B173,B173,$C$21:C173,C173)&gt;1,"ERROR - DUPLICATE",IF(COUNTIFS('08 Allocation Data'!$A$5:$A$34,D173,'08 Allocation Data'!$C$5:$C$34,"Yes")=0,"ERROR - INACTIVE","OK"))))</f>
        <v/>
      </c>
      <c r="H173" s="89"/>
      <c r="I173" s="38">
        <f t="shared" si="15"/>
        <v>0</v>
      </c>
      <c r="J173" s="38">
        <f t="shared" si="16"/>
        <v>0</v>
      </c>
      <c r="K173" s="38">
        <f t="shared" si="17"/>
        <v>0</v>
      </c>
    </row>
    <row r="174" spans="1:11" ht="32" customHeight="1">
      <c r="A174" s="21">
        <v>154</v>
      </c>
      <c r="B174" s="89"/>
      <c r="C174" s="89"/>
      <c r="D174" s="40" t="str">
        <f t="shared" si="13"/>
        <v/>
      </c>
      <c r="E174" s="91"/>
      <c r="F174" s="38">
        <f t="shared" si="14"/>
        <v>0</v>
      </c>
      <c r="G174" s="40" t="str">
        <f>IF(AND(B174="",C174="",E174=""),"",IF(OR(B174="",C174="",E174="",E174&lt;0,COUNTIF($A$5:$A$16,B174)=0,SUMIF($A$5:$A$16,B174,$F$5:$F$16)=0),"ERROR - INCOMPLETE",IF(COUNTIFS($B$21:B174,B174,$C$21:C174,C174)&gt;1,"ERROR - DUPLICATE",IF(COUNTIFS('08 Allocation Data'!$A$5:$A$34,D174,'08 Allocation Data'!$C$5:$C$34,"Yes")=0,"ERROR - INACTIVE","OK"))))</f>
        <v/>
      </c>
      <c r="H174" s="89"/>
      <c r="I174" s="38">
        <f t="shared" si="15"/>
        <v>0</v>
      </c>
      <c r="J174" s="38">
        <f t="shared" si="16"/>
        <v>0</v>
      </c>
      <c r="K174" s="38">
        <f t="shared" si="17"/>
        <v>0</v>
      </c>
    </row>
    <row r="175" spans="1:11" ht="32" customHeight="1">
      <c r="A175" s="21">
        <v>155</v>
      </c>
      <c r="B175" s="89"/>
      <c r="C175" s="89"/>
      <c r="D175" s="40" t="str">
        <f t="shared" si="13"/>
        <v/>
      </c>
      <c r="E175" s="91"/>
      <c r="F175" s="38">
        <f t="shared" si="14"/>
        <v>0</v>
      </c>
      <c r="G175" s="40" t="str">
        <f>IF(AND(B175="",C175="",E175=""),"",IF(OR(B175="",C175="",E175="",E175&lt;0,COUNTIF($A$5:$A$16,B175)=0,SUMIF($A$5:$A$16,B175,$F$5:$F$16)=0),"ERROR - INCOMPLETE",IF(COUNTIFS($B$21:B175,B175,$C$21:C175,C175)&gt;1,"ERROR - DUPLICATE",IF(COUNTIFS('08 Allocation Data'!$A$5:$A$34,D175,'08 Allocation Data'!$C$5:$C$34,"Yes")=0,"ERROR - INACTIVE","OK"))))</f>
        <v/>
      </c>
      <c r="H175" s="89"/>
      <c r="I175" s="38">
        <f t="shared" si="15"/>
        <v>0</v>
      </c>
      <c r="J175" s="38">
        <f t="shared" si="16"/>
        <v>0</v>
      </c>
      <c r="K175" s="38">
        <f t="shared" si="17"/>
        <v>0</v>
      </c>
    </row>
    <row r="176" spans="1:11" ht="32" customHeight="1">
      <c r="A176" s="21">
        <v>156</v>
      </c>
      <c r="B176" s="89"/>
      <c r="C176" s="89"/>
      <c r="D176" s="40" t="str">
        <f t="shared" si="13"/>
        <v/>
      </c>
      <c r="E176" s="91"/>
      <c r="F176" s="38">
        <f t="shared" si="14"/>
        <v>0</v>
      </c>
      <c r="G176" s="40" t="str">
        <f>IF(AND(B176="",C176="",E176=""),"",IF(OR(B176="",C176="",E176="",E176&lt;0,COUNTIF($A$5:$A$16,B176)=0,SUMIF($A$5:$A$16,B176,$F$5:$F$16)=0),"ERROR - INCOMPLETE",IF(COUNTIFS($B$21:B176,B176,$C$21:C176,C176)&gt;1,"ERROR - DUPLICATE",IF(COUNTIFS('08 Allocation Data'!$A$5:$A$34,D176,'08 Allocation Data'!$C$5:$C$34,"Yes")=0,"ERROR - INACTIVE","OK"))))</f>
        <v/>
      </c>
      <c r="H176" s="89"/>
      <c r="I176" s="38">
        <f t="shared" si="15"/>
        <v>0</v>
      </c>
      <c r="J176" s="38">
        <f t="shared" si="16"/>
        <v>0</v>
      </c>
      <c r="K176" s="38">
        <f t="shared" si="17"/>
        <v>0</v>
      </c>
    </row>
    <row r="177" spans="1:11" ht="32" customHeight="1">
      <c r="A177" s="21">
        <v>157</v>
      </c>
      <c r="B177" s="89"/>
      <c r="C177" s="89"/>
      <c r="D177" s="40" t="str">
        <f t="shared" si="13"/>
        <v/>
      </c>
      <c r="E177" s="91"/>
      <c r="F177" s="38">
        <f t="shared" si="14"/>
        <v>0</v>
      </c>
      <c r="G177" s="40" t="str">
        <f>IF(AND(B177="",C177="",E177=""),"",IF(OR(B177="",C177="",E177="",E177&lt;0,COUNTIF($A$5:$A$16,B177)=0,SUMIF($A$5:$A$16,B177,$F$5:$F$16)=0),"ERROR - INCOMPLETE",IF(COUNTIFS($B$21:B177,B177,$C$21:C177,C177)&gt;1,"ERROR - DUPLICATE",IF(COUNTIFS('08 Allocation Data'!$A$5:$A$34,D177,'08 Allocation Data'!$C$5:$C$34,"Yes")=0,"ERROR - INACTIVE","OK"))))</f>
        <v/>
      </c>
      <c r="H177" s="89"/>
      <c r="I177" s="38">
        <f t="shared" si="15"/>
        <v>0</v>
      </c>
      <c r="J177" s="38">
        <f t="shared" si="16"/>
        <v>0</v>
      </c>
      <c r="K177" s="38">
        <f t="shared" si="17"/>
        <v>0</v>
      </c>
    </row>
    <row r="178" spans="1:11" ht="32" customHeight="1">
      <c r="A178" s="21">
        <v>158</v>
      </c>
      <c r="B178" s="89"/>
      <c r="C178" s="89"/>
      <c r="D178" s="40" t="str">
        <f t="shared" si="13"/>
        <v/>
      </c>
      <c r="E178" s="91"/>
      <c r="F178" s="38">
        <f t="shared" si="14"/>
        <v>0</v>
      </c>
      <c r="G178" s="40" t="str">
        <f>IF(AND(B178="",C178="",E178=""),"",IF(OR(B178="",C178="",E178="",E178&lt;0,COUNTIF($A$5:$A$16,B178)=0,SUMIF($A$5:$A$16,B178,$F$5:$F$16)=0),"ERROR - INCOMPLETE",IF(COUNTIFS($B$21:B178,B178,$C$21:C178,C178)&gt;1,"ERROR - DUPLICATE",IF(COUNTIFS('08 Allocation Data'!$A$5:$A$34,D178,'08 Allocation Data'!$C$5:$C$34,"Yes")=0,"ERROR - INACTIVE","OK"))))</f>
        <v/>
      </c>
      <c r="H178" s="89"/>
      <c r="I178" s="38">
        <f t="shared" si="15"/>
        <v>0</v>
      </c>
      <c r="J178" s="38">
        <f t="shared" si="16"/>
        <v>0</v>
      </c>
      <c r="K178" s="38">
        <f t="shared" si="17"/>
        <v>0</v>
      </c>
    </row>
    <row r="179" spans="1:11" ht="32" customHeight="1">
      <c r="A179" s="21">
        <v>159</v>
      </c>
      <c r="B179" s="89"/>
      <c r="C179" s="89"/>
      <c r="D179" s="40" t="str">
        <f t="shared" si="13"/>
        <v/>
      </c>
      <c r="E179" s="91"/>
      <c r="F179" s="38">
        <f t="shared" si="14"/>
        <v>0</v>
      </c>
      <c r="G179" s="40" t="str">
        <f>IF(AND(B179="",C179="",E179=""),"",IF(OR(B179="",C179="",E179="",E179&lt;0,COUNTIF($A$5:$A$16,B179)=0,SUMIF($A$5:$A$16,B179,$F$5:$F$16)=0),"ERROR - INCOMPLETE",IF(COUNTIFS($B$21:B179,B179,$C$21:C179,C179)&gt;1,"ERROR - DUPLICATE",IF(COUNTIFS('08 Allocation Data'!$A$5:$A$34,D179,'08 Allocation Data'!$C$5:$C$34,"Yes")=0,"ERROR - INACTIVE","OK"))))</f>
        <v/>
      </c>
      <c r="H179" s="89"/>
      <c r="I179" s="38">
        <f t="shared" si="15"/>
        <v>0</v>
      </c>
      <c r="J179" s="38">
        <f t="shared" si="16"/>
        <v>0</v>
      </c>
      <c r="K179" s="38">
        <f t="shared" si="17"/>
        <v>0</v>
      </c>
    </row>
    <row r="180" spans="1:11" ht="32" customHeight="1">
      <c r="A180" s="21">
        <v>160</v>
      </c>
      <c r="B180" s="89"/>
      <c r="C180" s="89"/>
      <c r="D180" s="40" t="str">
        <f t="shared" si="13"/>
        <v/>
      </c>
      <c r="E180" s="91"/>
      <c r="F180" s="38">
        <f t="shared" si="14"/>
        <v>0</v>
      </c>
      <c r="G180" s="40" t="str">
        <f>IF(AND(B180="",C180="",E180=""),"",IF(OR(B180="",C180="",E180="",E180&lt;0,COUNTIF($A$5:$A$16,B180)=0,SUMIF($A$5:$A$16,B180,$F$5:$F$16)=0),"ERROR - INCOMPLETE",IF(COUNTIFS($B$21:B180,B180,$C$21:C180,C180)&gt;1,"ERROR - DUPLICATE",IF(COUNTIFS('08 Allocation Data'!$A$5:$A$34,D180,'08 Allocation Data'!$C$5:$C$34,"Yes")=0,"ERROR - INACTIVE","OK"))))</f>
        <v/>
      </c>
      <c r="H180" s="89"/>
      <c r="I180" s="38">
        <f t="shared" si="15"/>
        <v>0</v>
      </c>
      <c r="J180" s="38">
        <f t="shared" si="16"/>
        <v>0</v>
      </c>
      <c r="K180" s="38">
        <f t="shared" si="17"/>
        <v>0</v>
      </c>
    </row>
    <row r="181" spans="1:11" ht="32" customHeight="1">
      <c r="A181" s="21">
        <v>161</v>
      </c>
      <c r="B181" s="89"/>
      <c r="C181" s="89"/>
      <c r="D181" s="40" t="str">
        <f t="shared" si="13"/>
        <v/>
      </c>
      <c r="E181" s="91"/>
      <c r="F181" s="38">
        <f t="shared" si="14"/>
        <v>0</v>
      </c>
      <c r="G181" s="40" t="str">
        <f>IF(AND(B181="",C181="",E181=""),"",IF(OR(B181="",C181="",E181="",E181&lt;0,COUNTIF($A$5:$A$16,B181)=0,SUMIF($A$5:$A$16,B181,$F$5:$F$16)=0),"ERROR - INCOMPLETE",IF(COUNTIFS($B$21:B181,B181,$C$21:C181,C181)&gt;1,"ERROR - DUPLICATE",IF(COUNTIFS('08 Allocation Data'!$A$5:$A$34,D181,'08 Allocation Data'!$C$5:$C$34,"Yes")=0,"ERROR - INACTIVE","OK"))))</f>
        <v/>
      </c>
      <c r="H181" s="89"/>
      <c r="I181" s="38">
        <f t="shared" si="15"/>
        <v>0</v>
      </c>
      <c r="J181" s="38">
        <f t="shared" si="16"/>
        <v>0</v>
      </c>
      <c r="K181" s="38">
        <f t="shared" si="17"/>
        <v>0</v>
      </c>
    </row>
    <row r="182" spans="1:11" ht="32" customHeight="1">
      <c r="A182" s="21">
        <v>162</v>
      </c>
      <c r="B182" s="89"/>
      <c r="C182" s="89"/>
      <c r="D182" s="40" t="str">
        <f t="shared" si="13"/>
        <v/>
      </c>
      <c r="E182" s="91"/>
      <c r="F182" s="38">
        <f t="shared" si="14"/>
        <v>0</v>
      </c>
      <c r="G182" s="40" t="str">
        <f>IF(AND(B182="",C182="",E182=""),"",IF(OR(B182="",C182="",E182="",E182&lt;0,COUNTIF($A$5:$A$16,B182)=0,SUMIF($A$5:$A$16,B182,$F$5:$F$16)=0),"ERROR - INCOMPLETE",IF(COUNTIFS($B$21:B182,B182,$C$21:C182,C182)&gt;1,"ERROR - DUPLICATE",IF(COUNTIFS('08 Allocation Data'!$A$5:$A$34,D182,'08 Allocation Data'!$C$5:$C$34,"Yes")=0,"ERROR - INACTIVE","OK"))))</f>
        <v/>
      </c>
      <c r="H182" s="89"/>
      <c r="I182" s="38">
        <f t="shared" si="15"/>
        <v>0</v>
      </c>
      <c r="J182" s="38">
        <f t="shared" si="16"/>
        <v>0</v>
      </c>
      <c r="K182" s="38">
        <f t="shared" si="17"/>
        <v>0</v>
      </c>
    </row>
    <row r="183" spans="1:11" ht="32" customHeight="1">
      <c r="A183" s="21">
        <v>163</v>
      </c>
      <c r="B183" s="89"/>
      <c r="C183" s="89"/>
      <c r="D183" s="40" t="str">
        <f t="shared" si="13"/>
        <v/>
      </c>
      <c r="E183" s="91"/>
      <c r="F183" s="38">
        <f t="shared" si="14"/>
        <v>0</v>
      </c>
      <c r="G183" s="40" t="str">
        <f>IF(AND(B183="",C183="",E183=""),"",IF(OR(B183="",C183="",E183="",E183&lt;0,COUNTIF($A$5:$A$16,B183)=0,SUMIF($A$5:$A$16,B183,$F$5:$F$16)=0),"ERROR - INCOMPLETE",IF(COUNTIFS($B$21:B183,B183,$C$21:C183,C183)&gt;1,"ERROR - DUPLICATE",IF(COUNTIFS('08 Allocation Data'!$A$5:$A$34,D183,'08 Allocation Data'!$C$5:$C$34,"Yes")=0,"ERROR - INACTIVE","OK"))))</f>
        <v/>
      </c>
      <c r="H183" s="89"/>
      <c r="I183" s="38">
        <f t="shared" si="15"/>
        <v>0</v>
      </c>
      <c r="J183" s="38">
        <f t="shared" si="16"/>
        <v>0</v>
      </c>
      <c r="K183" s="38">
        <f t="shared" si="17"/>
        <v>0</v>
      </c>
    </row>
    <row r="184" spans="1:11" ht="32" customHeight="1">
      <c r="A184" s="21">
        <v>164</v>
      </c>
      <c r="B184" s="89"/>
      <c r="C184" s="89"/>
      <c r="D184" s="40" t="str">
        <f t="shared" si="13"/>
        <v/>
      </c>
      <c r="E184" s="91"/>
      <c r="F184" s="38">
        <f t="shared" si="14"/>
        <v>0</v>
      </c>
      <c r="G184" s="40" t="str">
        <f>IF(AND(B184="",C184="",E184=""),"",IF(OR(B184="",C184="",E184="",E184&lt;0,COUNTIF($A$5:$A$16,B184)=0,SUMIF($A$5:$A$16,B184,$F$5:$F$16)=0),"ERROR - INCOMPLETE",IF(COUNTIFS($B$21:B184,B184,$C$21:C184,C184)&gt;1,"ERROR - DUPLICATE",IF(COUNTIFS('08 Allocation Data'!$A$5:$A$34,D184,'08 Allocation Data'!$C$5:$C$34,"Yes")=0,"ERROR - INACTIVE","OK"))))</f>
        <v/>
      </c>
      <c r="H184" s="89"/>
      <c r="I184" s="38">
        <f t="shared" si="15"/>
        <v>0</v>
      </c>
      <c r="J184" s="38">
        <f t="shared" si="16"/>
        <v>0</v>
      </c>
      <c r="K184" s="38">
        <f t="shared" si="17"/>
        <v>0</v>
      </c>
    </row>
    <row r="185" spans="1:11" ht="32" customHeight="1">
      <c r="A185" s="21">
        <v>165</v>
      </c>
      <c r="B185" s="89"/>
      <c r="C185" s="89"/>
      <c r="D185" s="40" t="str">
        <f t="shared" si="13"/>
        <v/>
      </c>
      <c r="E185" s="91"/>
      <c r="F185" s="38">
        <f t="shared" si="14"/>
        <v>0</v>
      </c>
      <c r="G185" s="40" t="str">
        <f>IF(AND(B185="",C185="",E185=""),"",IF(OR(B185="",C185="",E185="",E185&lt;0,COUNTIF($A$5:$A$16,B185)=0,SUMIF($A$5:$A$16,B185,$F$5:$F$16)=0),"ERROR - INCOMPLETE",IF(COUNTIFS($B$21:B185,B185,$C$21:C185,C185)&gt;1,"ERROR - DUPLICATE",IF(COUNTIFS('08 Allocation Data'!$A$5:$A$34,D185,'08 Allocation Data'!$C$5:$C$34,"Yes")=0,"ERROR - INACTIVE","OK"))))</f>
        <v/>
      </c>
      <c r="H185" s="89"/>
      <c r="I185" s="38">
        <f t="shared" si="15"/>
        <v>0</v>
      </c>
      <c r="J185" s="38">
        <f t="shared" si="16"/>
        <v>0</v>
      </c>
      <c r="K185" s="38">
        <f t="shared" si="17"/>
        <v>0</v>
      </c>
    </row>
    <row r="186" spans="1:11" ht="32" customHeight="1">
      <c r="A186" s="21">
        <v>166</v>
      </c>
      <c r="B186" s="89"/>
      <c r="C186" s="89"/>
      <c r="D186" s="40" t="str">
        <f t="shared" si="13"/>
        <v/>
      </c>
      <c r="E186" s="91"/>
      <c r="F186" s="38">
        <f t="shared" si="14"/>
        <v>0</v>
      </c>
      <c r="G186" s="40" t="str">
        <f>IF(AND(B186="",C186="",E186=""),"",IF(OR(B186="",C186="",E186="",E186&lt;0,COUNTIF($A$5:$A$16,B186)=0,SUMIF($A$5:$A$16,B186,$F$5:$F$16)=0),"ERROR - INCOMPLETE",IF(COUNTIFS($B$21:B186,B186,$C$21:C186,C186)&gt;1,"ERROR - DUPLICATE",IF(COUNTIFS('08 Allocation Data'!$A$5:$A$34,D186,'08 Allocation Data'!$C$5:$C$34,"Yes")=0,"ERROR - INACTIVE","OK"))))</f>
        <v/>
      </c>
      <c r="H186" s="89"/>
      <c r="I186" s="38">
        <f t="shared" si="15"/>
        <v>0</v>
      </c>
      <c r="J186" s="38">
        <f t="shared" si="16"/>
        <v>0</v>
      </c>
      <c r="K186" s="38">
        <f t="shared" si="17"/>
        <v>0</v>
      </c>
    </row>
    <row r="187" spans="1:11" ht="32" customHeight="1">
      <c r="A187" s="21">
        <v>167</v>
      </c>
      <c r="B187" s="89"/>
      <c r="C187" s="89"/>
      <c r="D187" s="40" t="str">
        <f t="shared" si="13"/>
        <v/>
      </c>
      <c r="E187" s="91"/>
      <c r="F187" s="38">
        <f t="shared" si="14"/>
        <v>0</v>
      </c>
      <c r="G187" s="40" t="str">
        <f>IF(AND(B187="",C187="",E187=""),"",IF(OR(B187="",C187="",E187="",E187&lt;0,COUNTIF($A$5:$A$16,B187)=0,SUMIF($A$5:$A$16,B187,$F$5:$F$16)=0),"ERROR - INCOMPLETE",IF(COUNTIFS($B$21:B187,B187,$C$21:C187,C187)&gt;1,"ERROR - DUPLICATE",IF(COUNTIFS('08 Allocation Data'!$A$5:$A$34,D187,'08 Allocation Data'!$C$5:$C$34,"Yes")=0,"ERROR - INACTIVE","OK"))))</f>
        <v/>
      </c>
      <c r="H187" s="89"/>
      <c r="I187" s="38">
        <f t="shared" si="15"/>
        <v>0</v>
      </c>
      <c r="J187" s="38">
        <f t="shared" si="16"/>
        <v>0</v>
      </c>
      <c r="K187" s="38">
        <f t="shared" si="17"/>
        <v>0</v>
      </c>
    </row>
    <row r="188" spans="1:11" ht="32" customHeight="1">
      <c r="A188" s="21">
        <v>168</v>
      </c>
      <c r="B188" s="89"/>
      <c r="C188" s="89"/>
      <c r="D188" s="40" t="str">
        <f t="shared" si="13"/>
        <v/>
      </c>
      <c r="E188" s="91"/>
      <c r="F188" s="38">
        <f t="shared" si="14"/>
        <v>0</v>
      </c>
      <c r="G188" s="40" t="str">
        <f>IF(AND(B188="",C188="",E188=""),"",IF(OR(B188="",C188="",E188="",E188&lt;0,COUNTIF($A$5:$A$16,B188)=0,SUMIF($A$5:$A$16,B188,$F$5:$F$16)=0),"ERROR - INCOMPLETE",IF(COUNTIFS($B$21:B188,B188,$C$21:C188,C188)&gt;1,"ERROR - DUPLICATE",IF(COUNTIFS('08 Allocation Data'!$A$5:$A$34,D188,'08 Allocation Data'!$C$5:$C$34,"Yes")=0,"ERROR - INACTIVE","OK"))))</f>
        <v/>
      </c>
      <c r="H188" s="89"/>
      <c r="I188" s="38">
        <f t="shared" si="15"/>
        <v>0</v>
      </c>
      <c r="J188" s="38">
        <f t="shared" si="16"/>
        <v>0</v>
      </c>
      <c r="K188" s="38">
        <f t="shared" si="17"/>
        <v>0</v>
      </c>
    </row>
    <row r="189" spans="1:11" ht="32" customHeight="1">
      <c r="A189" s="21">
        <v>169</v>
      </c>
      <c r="B189" s="89"/>
      <c r="C189" s="89"/>
      <c r="D189" s="40" t="str">
        <f t="shared" si="13"/>
        <v/>
      </c>
      <c r="E189" s="91"/>
      <c r="F189" s="38">
        <f t="shared" si="14"/>
        <v>0</v>
      </c>
      <c r="G189" s="40" t="str">
        <f>IF(AND(B189="",C189="",E189=""),"",IF(OR(B189="",C189="",E189="",E189&lt;0,COUNTIF($A$5:$A$16,B189)=0,SUMIF($A$5:$A$16,B189,$F$5:$F$16)=0),"ERROR - INCOMPLETE",IF(COUNTIFS($B$21:B189,B189,$C$21:C189,C189)&gt;1,"ERROR - DUPLICATE",IF(COUNTIFS('08 Allocation Data'!$A$5:$A$34,D189,'08 Allocation Data'!$C$5:$C$34,"Yes")=0,"ERROR - INACTIVE","OK"))))</f>
        <v/>
      </c>
      <c r="H189" s="89"/>
      <c r="I189" s="38">
        <f t="shared" si="15"/>
        <v>0</v>
      </c>
      <c r="J189" s="38">
        <f t="shared" si="16"/>
        <v>0</v>
      </c>
      <c r="K189" s="38">
        <f t="shared" si="17"/>
        <v>0</v>
      </c>
    </row>
    <row r="190" spans="1:11" ht="32" customHeight="1">
      <c r="A190" s="21">
        <v>170</v>
      </c>
      <c r="B190" s="89"/>
      <c r="C190" s="89"/>
      <c r="D190" s="40" t="str">
        <f t="shared" si="13"/>
        <v/>
      </c>
      <c r="E190" s="91"/>
      <c r="F190" s="38">
        <f t="shared" si="14"/>
        <v>0</v>
      </c>
      <c r="G190" s="40" t="str">
        <f>IF(AND(B190="",C190="",E190=""),"",IF(OR(B190="",C190="",E190="",E190&lt;0,COUNTIF($A$5:$A$16,B190)=0,SUMIF($A$5:$A$16,B190,$F$5:$F$16)=0),"ERROR - INCOMPLETE",IF(COUNTIFS($B$21:B190,B190,$C$21:C190,C190)&gt;1,"ERROR - DUPLICATE",IF(COUNTIFS('08 Allocation Data'!$A$5:$A$34,D190,'08 Allocation Data'!$C$5:$C$34,"Yes")=0,"ERROR - INACTIVE","OK"))))</f>
        <v/>
      </c>
      <c r="H190" s="89"/>
      <c r="I190" s="38">
        <f t="shared" si="15"/>
        <v>0</v>
      </c>
      <c r="J190" s="38">
        <f t="shared" si="16"/>
        <v>0</v>
      </c>
      <c r="K190" s="38">
        <f t="shared" si="17"/>
        <v>0</v>
      </c>
    </row>
    <row r="191" spans="1:11" ht="32" customHeight="1">
      <c r="A191" s="21">
        <v>171</v>
      </c>
      <c r="B191" s="89"/>
      <c r="C191" s="89"/>
      <c r="D191" s="40" t="str">
        <f t="shared" si="13"/>
        <v/>
      </c>
      <c r="E191" s="91"/>
      <c r="F191" s="38">
        <f t="shared" si="14"/>
        <v>0</v>
      </c>
      <c r="G191" s="40" t="str">
        <f>IF(AND(B191="",C191="",E191=""),"",IF(OR(B191="",C191="",E191="",E191&lt;0,COUNTIF($A$5:$A$16,B191)=0,SUMIF($A$5:$A$16,B191,$F$5:$F$16)=0),"ERROR - INCOMPLETE",IF(COUNTIFS($B$21:B191,B191,$C$21:C191,C191)&gt;1,"ERROR - DUPLICATE",IF(COUNTIFS('08 Allocation Data'!$A$5:$A$34,D191,'08 Allocation Data'!$C$5:$C$34,"Yes")=0,"ERROR - INACTIVE","OK"))))</f>
        <v/>
      </c>
      <c r="H191" s="89"/>
      <c r="I191" s="38">
        <f t="shared" si="15"/>
        <v>0</v>
      </c>
      <c r="J191" s="38">
        <f t="shared" si="16"/>
        <v>0</v>
      </c>
      <c r="K191" s="38">
        <f t="shared" si="17"/>
        <v>0</v>
      </c>
    </row>
    <row r="192" spans="1:11" ht="32" customHeight="1">
      <c r="A192" s="21">
        <v>172</v>
      </c>
      <c r="B192" s="89"/>
      <c r="C192" s="89"/>
      <c r="D192" s="40" t="str">
        <f t="shared" si="13"/>
        <v/>
      </c>
      <c r="E192" s="91"/>
      <c r="F192" s="38">
        <f t="shared" si="14"/>
        <v>0</v>
      </c>
      <c r="G192" s="40" t="str">
        <f>IF(AND(B192="",C192="",E192=""),"",IF(OR(B192="",C192="",E192="",E192&lt;0,COUNTIF($A$5:$A$16,B192)=0,SUMIF($A$5:$A$16,B192,$F$5:$F$16)=0),"ERROR - INCOMPLETE",IF(COUNTIFS($B$21:B192,B192,$C$21:C192,C192)&gt;1,"ERROR - DUPLICATE",IF(COUNTIFS('08 Allocation Data'!$A$5:$A$34,D192,'08 Allocation Data'!$C$5:$C$34,"Yes")=0,"ERROR - INACTIVE","OK"))))</f>
        <v/>
      </c>
      <c r="H192" s="89"/>
      <c r="I192" s="38">
        <f t="shared" si="15"/>
        <v>0</v>
      </c>
      <c r="J192" s="38">
        <f t="shared" si="16"/>
        <v>0</v>
      </c>
      <c r="K192" s="38">
        <f t="shared" si="17"/>
        <v>0</v>
      </c>
    </row>
    <row r="193" spans="1:11" ht="32" customHeight="1">
      <c r="A193" s="21">
        <v>173</v>
      </c>
      <c r="B193" s="89"/>
      <c r="C193" s="89"/>
      <c r="D193" s="40" t="str">
        <f t="shared" si="13"/>
        <v/>
      </c>
      <c r="E193" s="91"/>
      <c r="F193" s="38">
        <f t="shared" si="14"/>
        <v>0</v>
      </c>
      <c r="G193" s="40" t="str">
        <f>IF(AND(B193="",C193="",E193=""),"",IF(OR(B193="",C193="",E193="",E193&lt;0,COUNTIF($A$5:$A$16,B193)=0,SUMIF($A$5:$A$16,B193,$F$5:$F$16)=0),"ERROR - INCOMPLETE",IF(COUNTIFS($B$21:B193,B193,$C$21:C193,C193)&gt;1,"ERROR - DUPLICATE",IF(COUNTIFS('08 Allocation Data'!$A$5:$A$34,D193,'08 Allocation Data'!$C$5:$C$34,"Yes")=0,"ERROR - INACTIVE","OK"))))</f>
        <v/>
      </c>
      <c r="H193" s="89"/>
      <c r="I193" s="38">
        <f t="shared" si="15"/>
        <v>0</v>
      </c>
      <c r="J193" s="38">
        <f t="shared" si="16"/>
        <v>0</v>
      </c>
      <c r="K193" s="38">
        <f t="shared" si="17"/>
        <v>0</v>
      </c>
    </row>
    <row r="194" spans="1:11" ht="32" customHeight="1">
      <c r="A194" s="21">
        <v>174</v>
      </c>
      <c r="B194" s="89"/>
      <c r="C194" s="89"/>
      <c r="D194" s="40" t="str">
        <f t="shared" si="13"/>
        <v/>
      </c>
      <c r="E194" s="91"/>
      <c r="F194" s="38">
        <f t="shared" si="14"/>
        <v>0</v>
      </c>
      <c r="G194" s="40" t="str">
        <f>IF(AND(B194="",C194="",E194=""),"",IF(OR(B194="",C194="",E194="",E194&lt;0,COUNTIF($A$5:$A$16,B194)=0,SUMIF($A$5:$A$16,B194,$F$5:$F$16)=0),"ERROR - INCOMPLETE",IF(COUNTIFS($B$21:B194,B194,$C$21:C194,C194)&gt;1,"ERROR - DUPLICATE",IF(COUNTIFS('08 Allocation Data'!$A$5:$A$34,D194,'08 Allocation Data'!$C$5:$C$34,"Yes")=0,"ERROR - INACTIVE","OK"))))</f>
        <v/>
      </c>
      <c r="H194" s="89"/>
      <c r="I194" s="38">
        <f t="shared" si="15"/>
        <v>0</v>
      </c>
      <c r="J194" s="38">
        <f t="shared" si="16"/>
        <v>0</v>
      </c>
      <c r="K194" s="38">
        <f t="shared" si="17"/>
        <v>0</v>
      </c>
    </row>
    <row r="195" spans="1:11" ht="32" customHeight="1">
      <c r="A195" s="21">
        <v>175</v>
      </c>
      <c r="B195" s="89"/>
      <c r="C195" s="89"/>
      <c r="D195" s="40" t="str">
        <f t="shared" si="13"/>
        <v/>
      </c>
      <c r="E195" s="91"/>
      <c r="F195" s="38">
        <f t="shared" si="14"/>
        <v>0</v>
      </c>
      <c r="G195" s="40" t="str">
        <f>IF(AND(B195="",C195="",E195=""),"",IF(OR(B195="",C195="",E195="",E195&lt;0,COUNTIF($A$5:$A$16,B195)=0,SUMIF($A$5:$A$16,B195,$F$5:$F$16)=0),"ERROR - INCOMPLETE",IF(COUNTIFS($B$21:B195,B195,$C$21:C195,C195)&gt;1,"ERROR - DUPLICATE",IF(COUNTIFS('08 Allocation Data'!$A$5:$A$34,D195,'08 Allocation Data'!$C$5:$C$34,"Yes")=0,"ERROR - INACTIVE","OK"))))</f>
        <v/>
      </c>
      <c r="H195" s="89"/>
      <c r="I195" s="38">
        <f t="shared" si="15"/>
        <v>0</v>
      </c>
      <c r="J195" s="38">
        <f t="shared" si="16"/>
        <v>0</v>
      </c>
      <c r="K195" s="38">
        <f t="shared" si="17"/>
        <v>0</v>
      </c>
    </row>
    <row r="196" spans="1:11" ht="32" customHeight="1">
      <c r="A196" s="21">
        <v>176</v>
      </c>
      <c r="B196" s="89"/>
      <c r="C196" s="89"/>
      <c r="D196" s="40" t="str">
        <f t="shared" si="13"/>
        <v/>
      </c>
      <c r="E196" s="91"/>
      <c r="F196" s="38">
        <f t="shared" si="14"/>
        <v>0</v>
      </c>
      <c r="G196" s="40" t="str">
        <f>IF(AND(B196="",C196="",E196=""),"",IF(OR(B196="",C196="",E196="",E196&lt;0,COUNTIF($A$5:$A$16,B196)=0,SUMIF($A$5:$A$16,B196,$F$5:$F$16)=0),"ERROR - INCOMPLETE",IF(COUNTIFS($B$21:B196,B196,$C$21:C196,C196)&gt;1,"ERROR - DUPLICATE",IF(COUNTIFS('08 Allocation Data'!$A$5:$A$34,D196,'08 Allocation Data'!$C$5:$C$34,"Yes")=0,"ERROR - INACTIVE","OK"))))</f>
        <v/>
      </c>
      <c r="H196" s="89"/>
      <c r="I196" s="38">
        <f t="shared" si="15"/>
        <v>0</v>
      </c>
      <c r="J196" s="38">
        <f t="shared" si="16"/>
        <v>0</v>
      </c>
      <c r="K196" s="38">
        <f t="shared" si="17"/>
        <v>0</v>
      </c>
    </row>
    <row r="197" spans="1:11" ht="32" customHeight="1">
      <c r="A197" s="21">
        <v>177</v>
      </c>
      <c r="B197" s="89"/>
      <c r="C197" s="89"/>
      <c r="D197" s="40" t="str">
        <f t="shared" si="13"/>
        <v/>
      </c>
      <c r="E197" s="91"/>
      <c r="F197" s="38">
        <f t="shared" si="14"/>
        <v>0</v>
      </c>
      <c r="G197" s="40" t="str">
        <f>IF(AND(B197="",C197="",E197=""),"",IF(OR(B197="",C197="",E197="",E197&lt;0,COUNTIF($A$5:$A$16,B197)=0,SUMIF($A$5:$A$16,B197,$F$5:$F$16)=0),"ERROR - INCOMPLETE",IF(COUNTIFS($B$21:B197,B197,$C$21:C197,C197)&gt;1,"ERROR - DUPLICATE",IF(COUNTIFS('08 Allocation Data'!$A$5:$A$34,D197,'08 Allocation Data'!$C$5:$C$34,"Yes")=0,"ERROR - INACTIVE","OK"))))</f>
        <v/>
      </c>
      <c r="H197" s="89"/>
      <c r="I197" s="38">
        <f t="shared" si="15"/>
        <v>0</v>
      </c>
      <c r="J197" s="38">
        <f t="shared" si="16"/>
        <v>0</v>
      </c>
      <c r="K197" s="38">
        <f t="shared" si="17"/>
        <v>0</v>
      </c>
    </row>
    <row r="198" spans="1:11" ht="32" customHeight="1">
      <c r="A198" s="21">
        <v>178</v>
      </c>
      <c r="B198" s="89"/>
      <c r="C198" s="89"/>
      <c r="D198" s="40" t="str">
        <f t="shared" si="13"/>
        <v/>
      </c>
      <c r="E198" s="91"/>
      <c r="F198" s="38">
        <f t="shared" si="14"/>
        <v>0</v>
      </c>
      <c r="G198" s="40" t="str">
        <f>IF(AND(B198="",C198="",E198=""),"",IF(OR(B198="",C198="",E198="",E198&lt;0,COUNTIF($A$5:$A$16,B198)=0,SUMIF($A$5:$A$16,B198,$F$5:$F$16)=0),"ERROR - INCOMPLETE",IF(COUNTIFS($B$21:B198,B198,$C$21:C198,C198)&gt;1,"ERROR - DUPLICATE",IF(COUNTIFS('08 Allocation Data'!$A$5:$A$34,D198,'08 Allocation Data'!$C$5:$C$34,"Yes")=0,"ERROR - INACTIVE","OK"))))</f>
        <v/>
      </c>
      <c r="H198" s="89"/>
      <c r="I198" s="38">
        <f t="shared" si="15"/>
        <v>0</v>
      </c>
      <c r="J198" s="38">
        <f t="shared" si="16"/>
        <v>0</v>
      </c>
      <c r="K198" s="38">
        <f t="shared" si="17"/>
        <v>0</v>
      </c>
    </row>
    <row r="199" spans="1:11" ht="32" customHeight="1">
      <c r="A199" s="21">
        <v>179</v>
      </c>
      <c r="B199" s="89"/>
      <c r="C199" s="89"/>
      <c r="D199" s="40" t="str">
        <f t="shared" si="13"/>
        <v/>
      </c>
      <c r="E199" s="91"/>
      <c r="F199" s="38">
        <f t="shared" si="14"/>
        <v>0</v>
      </c>
      <c r="G199" s="40" t="str">
        <f>IF(AND(B199="",C199="",E199=""),"",IF(OR(B199="",C199="",E199="",E199&lt;0,COUNTIF($A$5:$A$16,B199)=0,SUMIF($A$5:$A$16,B199,$F$5:$F$16)=0),"ERROR - INCOMPLETE",IF(COUNTIFS($B$21:B199,B199,$C$21:C199,C199)&gt;1,"ERROR - DUPLICATE",IF(COUNTIFS('08 Allocation Data'!$A$5:$A$34,D199,'08 Allocation Data'!$C$5:$C$34,"Yes")=0,"ERROR - INACTIVE","OK"))))</f>
        <v/>
      </c>
      <c r="H199" s="89"/>
      <c r="I199" s="38">
        <f t="shared" si="15"/>
        <v>0</v>
      </c>
      <c r="J199" s="38">
        <f t="shared" si="16"/>
        <v>0</v>
      </c>
      <c r="K199" s="38">
        <f t="shared" si="17"/>
        <v>0</v>
      </c>
    </row>
    <row r="200" spans="1:11" ht="32" customHeight="1">
      <c r="A200" s="21">
        <v>180</v>
      </c>
      <c r="B200" s="89"/>
      <c r="C200" s="89"/>
      <c r="D200" s="40" t="str">
        <f t="shared" si="13"/>
        <v/>
      </c>
      <c r="E200" s="91"/>
      <c r="F200" s="38">
        <f t="shared" si="14"/>
        <v>0</v>
      </c>
      <c r="G200" s="40" t="str">
        <f>IF(AND(B200="",C200="",E200=""),"",IF(OR(B200="",C200="",E200="",E200&lt;0,COUNTIF($A$5:$A$16,B200)=0,SUMIF($A$5:$A$16,B200,$F$5:$F$16)=0),"ERROR - INCOMPLETE",IF(COUNTIFS($B$21:B200,B200,$C$21:C200,C200)&gt;1,"ERROR - DUPLICATE",IF(COUNTIFS('08 Allocation Data'!$A$5:$A$34,D200,'08 Allocation Data'!$C$5:$C$34,"Yes")=0,"ERROR - INACTIVE","OK"))))</f>
        <v/>
      </c>
      <c r="H200" s="89"/>
      <c r="I200" s="38">
        <f t="shared" si="15"/>
        <v>0</v>
      </c>
      <c r="J200" s="38">
        <f t="shared" si="16"/>
        <v>0</v>
      </c>
      <c r="K200" s="38">
        <f t="shared" si="17"/>
        <v>0</v>
      </c>
    </row>
    <row r="201" spans="1:11" ht="32" customHeight="1">
      <c r="A201" s="21">
        <v>181</v>
      </c>
      <c r="B201" s="89"/>
      <c r="C201" s="89"/>
      <c r="D201" s="40" t="str">
        <f t="shared" si="13"/>
        <v/>
      </c>
      <c r="E201" s="91"/>
      <c r="F201" s="38">
        <f t="shared" si="14"/>
        <v>0</v>
      </c>
      <c r="G201" s="40" t="str">
        <f>IF(AND(B201="",C201="",E201=""),"",IF(OR(B201="",C201="",E201="",E201&lt;0,COUNTIF($A$5:$A$16,B201)=0,SUMIF($A$5:$A$16,B201,$F$5:$F$16)=0),"ERROR - INCOMPLETE",IF(COUNTIFS($B$21:B201,B201,$C$21:C201,C201)&gt;1,"ERROR - DUPLICATE",IF(COUNTIFS('08 Allocation Data'!$A$5:$A$34,D201,'08 Allocation Data'!$C$5:$C$34,"Yes")=0,"ERROR - INACTIVE","OK"))))</f>
        <v/>
      </c>
      <c r="H201" s="89"/>
      <c r="I201" s="38">
        <f t="shared" si="15"/>
        <v>0</v>
      </c>
      <c r="J201" s="38">
        <f t="shared" si="16"/>
        <v>0</v>
      </c>
      <c r="K201" s="38">
        <f t="shared" si="17"/>
        <v>0</v>
      </c>
    </row>
    <row r="202" spans="1:11" ht="32" customHeight="1">
      <c r="A202" s="21">
        <v>182</v>
      </c>
      <c r="B202" s="89"/>
      <c r="C202" s="89"/>
      <c r="D202" s="40" t="str">
        <f t="shared" si="13"/>
        <v/>
      </c>
      <c r="E202" s="91"/>
      <c r="F202" s="38">
        <f t="shared" si="14"/>
        <v>0</v>
      </c>
      <c r="G202" s="40" t="str">
        <f>IF(AND(B202="",C202="",E202=""),"",IF(OR(B202="",C202="",E202="",E202&lt;0,COUNTIF($A$5:$A$16,B202)=0,SUMIF($A$5:$A$16,B202,$F$5:$F$16)=0),"ERROR - INCOMPLETE",IF(COUNTIFS($B$21:B202,B202,$C$21:C202,C202)&gt;1,"ERROR - DUPLICATE",IF(COUNTIFS('08 Allocation Data'!$A$5:$A$34,D202,'08 Allocation Data'!$C$5:$C$34,"Yes")=0,"ERROR - INACTIVE","OK"))))</f>
        <v/>
      </c>
      <c r="H202" s="89"/>
      <c r="I202" s="38">
        <f t="shared" si="15"/>
        <v>0</v>
      </c>
      <c r="J202" s="38">
        <f t="shared" si="16"/>
        <v>0</v>
      </c>
      <c r="K202" s="38">
        <f t="shared" si="17"/>
        <v>0</v>
      </c>
    </row>
    <row r="203" spans="1:11" ht="32" customHeight="1">
      <c r="A203" s="21">
        <v>183</v>
      </c>
      <c r="B203" s="89"/>
      <c r="C203" s="89"/>
      <c r="D203" s="40" t="str">
        <f t="shared" si="13"/>
        <v/>
      </c>
      <c r="E203" s="91"/>
      <c r="F203" s="38">
        <f t="shared" si="14"/>
        <v>0</v>
      </c>
      <c r="G203" s="40" t="str">
        <f>IF(AND(B203="",C203="",E203=""),"",IF(OR(B203="",C203="",E203="",E203&lt;0,COUNTIF($A$5:$A$16,B203)=0,SUMIF($A$5:$A$16,B203,$F$5:$F$16)=0),"ERROR - INCOMPLETE",IF(COUNTIFS($B$21:B203,B203,$C$21:C203,C203)&gt;1,"ERROR - DUPLICATE",IF(COUNTIFS('08 Allocation Data'!$A$5:$A$34,D203,'08 Allocation Data'!$C$5:$C$34,"Yes")=0,"ERROR - INACTIVE","OK"))))</f>
        <v/>
      </c>
      <c r="H203" s="89"/>
      <c r="I203" s="38">
        <f t="shared" si="15"/>
        <v>0</v>
      </c>
      <c r="J203" s="38">
        <f t="shared" si="16"/>
        <v>0</v>
      </c>
      <c r="K203" s="38">
        <f t="shared" si="17"/>
        <v>0</v>
      </c>
    </row>
    <row r="204" spans="1:11" ht="32" customHeight="1">
      <c r="A204" s="21">
        <v>184</v>
      </c>
      <c r="B204" s="89"/>
      <c r="C204" s="89"/>
      <c r="D204" s="40" t="str">
        <f t="shared" si="13"/>
        <v/>
      </c>
      <c r="E204" s="91"/>
      <c r="F204" s="38">
        <f t="shared" si="14"/>
        <v>0</v>
      </c>
      <c r="G204" s="40" t="str">
        <f>IF(AND(B204="",C204="",E204=""),"",IF(OR(B204="",C204="",E204="",E204&lt;0,COUNTIF($A$5:$A$16,B204)=0,SUMIF($A$5:$A$16,B204,$F$5:$F$16)=0),"ERROR - INCOMPLETE",IF(COUNTIFS($B$21:B204,B204,$C$21:C204,C204)&gt;1,"ERROR - DUPLICATE",IF(COUNTIFS('08 Allocation Data'!$A$5:$A$34,D204,'08 Allocation Data'!$C$5:$C$34,"Yes")=0,"ERROR - INACTIVE","OK"))))</f>
        <v/>
      </c>
      <c r="H204" s="89"/>
      <c r="I204" s="38">
        <f t="shared" si="15"/>
        <v>0</v>
      </c>
      <c r="J204" s="38">
        <f t="shared" si="16"/>
        <v>0</v>
      </c>
      <c r="K204" s="38">
        <f t="shared" si="17"/>
        <v>0</v>
      </c>
    </row>
    <row r="205" spans="1:11" ht="32" customHeight="1">
      <c r="A205" s="21">
        <v>185</v>
      </c>
      <c r="B205" s="89"/>
      <c r="C205" s="89"/>
      <c r="D205" s="40" t="str">
        <f t="shared" si="13"/>
        <v/>
      </c>
      <c r="E205" s="91"/>
      <c r="F205" s="38">
        <f t="shared" si="14"/>
        <v>0</v>
      </c>
      <c r="G205" s="40" t="str">
        <f>IF(AND(B205="",C205="",E205=""),"",IF(OR(B205="",C205="",E205="",E205&lt;0,COUNTIF($A$5:$A$16,B205)=0,SUMIF($A$5:$A$16,B205,$F$5:$F$16)=0),"ERROR - INCOMPLETE",IF(COUNTIFS($B$21:B205,B205,$C$21:C205,C205)&gt;1,"ERROR - DUPLICATE",IF(COUNTIFS('08 Allocation Data'!$A$5:$A$34,D205,'08 Allocation Data'!$C$5:$C$34,"Yes")=0,"ERROR - INACTIVE","OK"))))</f>
        <v/>
      </c>
      <c r="H205" s="89"/>
      <c r="I205" s="38">
        <f t="shared" si="15"/>
        <v>0</v>
      </c>
      <c r="J205" s="38">
        <f t="shared" si="16"/>
        <v>0</v>
      </c>
      <c r="K205" s="38">
        <f t="shared" si="17"/>
        <v>0</v>
      </c>
    </row>
    <row r="206" spans="1:11" ht="32" customHeight="1">
      <c r="A206" s="21">
        <v>186</v>
      </c>
      <c r="B206" s="89"/>
      <c r="C206" s="89"/>
      <c r="D206" s="40" t="str">
        <f t="shared" si="13"/>
        <v/>
      </c>
      <c r="E206" s="91"/>
      <c r="F206" s="38">
        <f t="shared" si="14"/>
        <v>0</v>
      </c>
      <c r="G206" s="40" t="str">
        <f>IF(AND(B206="",C206="",E206=""),"",IF(OR(B206="",C206="",E206="",E206&lt;0,COUNTIF($A$5:$A$16,B206)=0,SUMIF($A$5:$A$16,B206,$F$5:$F$16)=0),"ERROR - INCOMPLETE",IF(COUNTIFS($B$21:B206,B206,$C$21:C206,C206)&gt;1,"ERROR - DUPLICATE",IF(COUNTIFS('08 Allocation Data'!$A$5:$A$34,D206,'08 Allocation Data'!$C$5:$C$34,"Yes")=0,"ERROR - INACTIVE","OK"))))</f>
        <v/>
      </c>
      <c r="H206" s="89"/>
      <c r="I206" s="38">
        <f t="shared" si="15"/>
        <v>0</v>
      </c>
      <c r="J206" s="38">
        <f t="shared" si="16"/>
        <v>0</v>
      </c>
      <c r="K206" s="38">
        <f t="shared" si="17"/>
        <v>0</v>
      </c>
    </row>
    <row r="207" spans="1:11" ht="32" customHeight="1">
      <c r="A207" s="21">
        <v>187</v>
      </c>
      <c r="B207" s="89"/>
      <c r="C207" s="89"/>
      <c r="D207" s="40" t="str">
        <f t="shared" si="13"/>
        <v/>
      </c>
      <c r="E207" s="91"/>
      <c r="F207" s="38">
        <f t="shared" si="14"/>
        <v>0</v>
      </c>
      <c r="G207" s="40" t="str">
        <f>IF(AND(B207="",C207="",E207=""),"",IF(OR(B207="",C207="",E207="",E207&lt;0,COUNTIF($A$5:$A$16,B207)=0,SUMIF($A$5:$A$16,B207,$F$5:$F$16)=0),"ERROR - INCOMPLETE",IF(COUNTIFS($B$21:B207,B207,$C$21:C207,C207)&gt;1,"ERROR - DUPLICATE",IF(COUNTIFS('08 Allocation Data'!$A$5:$A$34,D207,'08 Allocation Data'!$C$5:$C$34,"Yes")=0,"ERROR - INACTIVE","OK"))))</f>
        <v/>
      </c>
      <c r="H207" s="89"/>
      <c r="I207" s="38">
        <f t="shared" si="15"/>
        <v>0</v>
      </c>
      <c r="J207" s="38">
        <f t="shared" si="16"/>
        <v>0</v>
      </c>
      <c r="K207" s="38">
        <f t="shared" si="17"/>
        <v>0</v>
      </c>
    </row>
    <row r="208" spans="1:11" ht="32" customHeight="1">
      <c r="A208" s="21">
        <v>188</v>
      </c>
      <c r="B208" s="89"/>
      <c r="C208" s="89"/>
      <c r="D208" s="40" t="str">
        <f t="shared" si="13"/>
        <v/>
      </c>
      <c r="E208" s="91"/>
      <c r="F208" s="38">
        <f t="shared" si="14"/>
        <v>0</v>
      </c>
      <c r="G208" s="40" t="str">
        <f>IF(AND(B208="",C208="",E208=""),"",IF(OR(B208="",C208="",E208="",E208&lt;0,COUNTIF($A$5:$A$16,B208)=0,SUMIF($A$5:$A$16,B208,$F$5:$F$16)=0),"ERROR - INCOMPLETE",IF(COUNTIFS($B$21:B208,B208,$C$21:C208,C208)&gt;1,"ERROR - DUPLICATE",IF(COUNTIFS('08 Allocation Data'!$A$5:$A$34,D208,'08 Allocation Data'!$C$5:$C$34,"Yes")=0,"ERROR - INACTIVE","OK"))))</f>
        <v/>
      </c>
      <c r="H208" s="89"/>
      <c r="I208" s="38">
        <f t="shared" si="15"/>
        <v>0</v>
      </c>
      <c r="J208" s="38">
        <f t="shared" si="16"/>
        <v>0</v>
      </c>
      <c r="K208" s="38">
        <f t="shared" si="17"/>
        <v>0</v>
      </c>
    </row>
    <row r="209" spans="1:11" ht="32" customHeight="1">
      <c r="A209" s="21">
        <v>189</v>
      </c>
      <c r="B209" s="89"/>
      <c r="C209" s="89"/>
      <c r="D209" s="40" t="str">
        <f t="shared" si="13"/>
        <v/>
      </c>
      <c r="E209" s="91"/>
      <c r="F209" s="38">
        <f t="shared" si="14"/>
        <v>0</v>
      </c>
      <c r="G209" s="40" t="str">
        <f>IF(AND(B209="",C209="",E209=""),"",IF(OR(B209="",C209="",E209="",E209&lt;0,COUNTIF($A$5:$A$16,B209)=0,SUMIF($A$5:$A$16,B209,$F$5:$F$16)=0),"ERROR - INCOMPLETE",IF(COUNTIFS($B$21:B209,B209,$C$21:C209,C209)&gt;1,"ERROR - DUPLICATE",IF(COUNTIFS('08 Allocation Data'!$A$5:$A$34,D209,'08 Allocation Data'!$C$5:$C$34,"Yes")=0,"ERROR - INACTIVE","OK"))))</f>
        <v/>
      </c>
      <c r="H209" s="89"/>
      <c r="I209" s="38">
        <f t="shared" si="15"/>
        <v>0</v>
      </c>
      <c r="J209" s="38">
        <f t="shared" si="16"/>
        <v>0</v>
      </c>
      <c r="K209" s="38">
        <f t="shared" si="17"/>
        <v>0</v>
      </c>
    </row>
    <row r="210" spans="1:11" ht="32" customHeight="1">
      <c r="A210" s="21">
        <v>190</v>
      </c>
      <c r="B210" s="89"/>
      <c r="C210" s="89"/>
      <c r="D210" s="40" t="str">
        <f t="shared" si="13"/>
        <v/>
      </c>
      <c r="E210" s="91"/>
      <c r="F210" s="38">
        <f t="shared" si="14"/>
        <v>0</v>
      </c>
      <c r="G210" s="40" t="str">
        <f>IF(AND(B210="",C210="",E210=""),"",IF(OR(B210="",C210="",E210="",E210&lt;0,COUNTIF($A$5:$A$16,B210)=0,SUMIF($A$5:$A$16,B210,$F$5:$F$16)=0),"ERROR - INCOMPLETE",IF(COUNTIFS($B$21:B210,B210,$C$21:C210,C210)&gt;1,"ERROR - DUPLICATE",IF(COUNTIFS('08 Allocation Data'!$A$5:$A$34,D210,'08 Allocation Data'!$C$5:$C$34,"Yes")=0,"ERROR - INACTIVE","OK"))))</f>
        <v/>
      </c>
      <c r="H210" s="89"/>
      <c r="I210" s="38">
        <f t="shared" si="15"/>
        <v>0</v>
      </c>
      <c r="J210" s="38">
        <f t="shared" si="16"/>
        <v>0</v>
      </c>
      <c r="K210" s="38">
        <f t="shared" si="17"/>
        <v>0</v>
      </c>
    </row>
    <row r="211" spans="1:11" ht="32" customHeight="1">
      <c r="A211" s="21">
        <v>191</v>
      </c>
      <c r="B211" s="89"/>
      <c r="C211" s="89"/>
      <c r="D211" s="40" t="str">
        <f t="shared" si="13"/>
        <v/>
      </c>
      <c r="E211" s="91"/>
      <c r="F211" s="38">
        <f t="shared" si="14"/>
        <v>0</v>
      </c>
      <c r="G211" s="40" t="str">
        <f>IF(AND(B211="",C211="",E211=""),"",IF(OR(B211="",C211="",E211="",E211&lt;0,COUNTIF($A$5:$A$16,B211)=0,SUMIF($A$5:$A$16,B211,$F$5:$F$16)=0),"ERROR - INCOMPLETE",IF(COUNTIFS($B$21:B211,B211,$C$21:C211,C211)&gt;1,"ERROR - DUPLICATE",IF(COUNTIFS('08 Allocation Data'!$A$5:$A$34,D211,'08 Allocation Data'!$C$5:$C$34,"Yes")=0,"ERROR - INACTIVE","OK"))))</f>
        <v/>
      </c>
      <c r="H211" s="89"/>
      <c r="I211" s="38">
        <f t="shared" si="15"/>
        <v>0</v>
      </c>
      <c r="J211" s="38">
        <f t="shared" si="16"/>
        <v>0</v>
      </c>
      <c r="K211" s="38">
        <f t="shared" si="17"/>
        <v>0</v>
      </c>
    </row>
    <row r="212" spans="1:11" ht="32" customHeight="1">
      <c r="A212" s="21">
        <v>192</v>
      </c>
      <c r="B212" s="89"/>
      <c r="C212" s="89"/>
      <c r="D212" s="40" t="str">
        <f t="shared" si="13"/>
        <v/>
      </c>
      <c r="E212" s="91"/>
      <c r="F212" s="38">
        <f t="shared" si="14"/>
        <v>0</v>
      </c>
      <c r="G212" s="40" t="str">
        <f>IF(AND(B212="",C212="",E212=""),"",IF(OR(B212="",C212="",E212="",E212&lt;0,COUNTIF($A$5:$A$16,B212)=0,SUMIF($A$5:$A$16,B212,$F$5:$F$16)=0),"ERROR - INCOMPLETE",IF(COUNTIFS($B$21:B212,B212,$C$21:C212,C212)&gt;1,"ERROR - DUPLICATE",IF(COUNTIFS('08 Allocation Data'!$A$5:$A$34,D212,'08 Allocation Data'!$C$5:$C$34,"Yes")=0,"ERROR - INACTIVE","OK"))))</f>
        <v/>
      </c>
      <c r="H212" s="89"/>
      <c r="I212" s="38">
        <f t="shared" si="15"/>
        <v>0</v>
      </c>
      <c r="J212" s="38">
        <f t="shared" si="16"/>
        <v>0</v>
      </c>
      <c r="K212" s="38">
        <f t="shared" si="17"/>
        <v>0</v>
      </c>
    </row>
    <row r="213" spans="1:11" ht="32" customHeight="1">
      <c r="A213" s="21">
        <v>193</v>
      </c>
      <c r="B213" s="89"/>
      <c r="C213" s="89"/>
      <c r="D213" s="40" t="str">
        <f t="shared" ref="D213:D260" si="18">IF(C213="","",IFERROR(LEFT(C213,FIND(" | ",C213)-1),"INVALID"))</f>
        <v/>
      </c>
      <c r="E213" s="91"/>
      <c r="F213" s="38">
        <f t="shared" ref="F213:F260" si="19">SUM(I213:K213)</f>
        <v>0</v>
      </c>
      <c r="G213" s="40" t="str">
        <f>IF(AND(B213="",C213="",E213=""),"",IF(OR(B213="",C213="",E213="",E213&lt;0,COUNTIF($A$5:$A$16,B213)=0,SUMIF($A$5:$A$16,B213,$F$5:$F$16)=0),"ERROR - INCOMPLETE",IF(COUNTIFS($B$21:B213,B213,$C$21:C213,C213)&gt;1,"ERROR - DUPLICATE",IF(COUNTIFS('08 Allocation Data'!$A$5:$A$34,D213,'08 Allocation Data'!$C$5:$C$34,"Yes")=0,"ERROR - INACTIVE","OK"))))</f>
        <v/>
      </c>
      <c r="H213" s="89"/>
      <c r="I213" s="38">
        <f t="shared" ref="I213:I260" si="20">IF(OR(B213="",C213="",E213=""),0,SUMIF($A$5:$A$16,B213,$C$5:$C$16)*E213)</f>
        <v>0</v>
      </c>
      <c r="J213" s="38">
        <f t="shared" ref="J213:J260" si="21">IF(OR(B213="",C213="",E213=""),0,SUMIF($A$5:$A$16,B213,$D$5:$D$16)*E213)</f>
        <v>0</v>
      </c>
      <c r="K213" s="38">
        <f t="shared" ref="K213:K260" si="22">IF(OR(B213="",C213="",E213=""),0,SUMIF($A$5:$A$16,B213,$E$5:$E$16)*E213)</f>
        <v>0</v>
      </c>
    </row>
    <row r="214" spans="1:11" ht="32" customHeight="1">
      <c r="A214" s="21">
        <v>194</v>
      </c>
      <c r="B214" s="89"/>
      <c r="C214" s="89"/>
      <c r="D214" s="40" t="str">
        <f t="shared" si="18"/>
        <v/>
      </c>
      <c r="E214" s="91"/>
      <c r="F214" s="38">
        <f t="shared" si="19"/>
        <v>0</v>
      </c>
      <c r="G214" s="40" t="str">
        <f>IF(AND(B214="",C214="",E214=""),"",IF(OR(B214="",C214="",E214="",E214&lt;0,COUNTIF($A$5:$A$16,B214)=0,SUMIF($A$5:$A$16,B214,$F$5:$F$16)=0),"ERROR - INCOMPLETE",IF(COUNTIFS($B$21:B214,B214,$C$21:C214,C214)&gt;1,"ERROR - DUPLICATE",IF(COUNTIFS('08 Allocation Data'!$A$5:$A$34,D214,'08 Allocation Data'!$C$5:$C$34,"Yes")=0,"ERROR - INACTIVE","OK"))))</f>
        <v/>
      </c>
      <c r="H214" s="89"/>
      <c r="I214" s="38">
        <f t="shared" si="20"/>
        <v>0</v>
      </c>
      <c r="J214" s="38">
        <f t="shared" si="21"/>
        <v>0</v>
      </c>
      <c r="K214" s="38">
        <f t="shared" si="22"/>
        <v>0</v>
      </c>
    </row>
    <row r="215" spans="1:11" ht="32" customHeight="1">
      <c r="A215" s="21">
        <v>195</v>
      </c>
      <c r="B215" s="89"/>
      <c r="C215" s="89"/>
      <c r="D215" s="40" t="str">
        <f t="shared" si="18"/>
        <v/>
      </c>
      <c r="E215" s="91"/>
      <c r="F215" s="38">
        <f t="shared" si="19"/>
        <v>0</v>
      </c>
      <c r="G215" s="40" t="str">
        <f>IF(AND(B215="",C215="",E215=""),"",IF(OR(B215="",C215="",E215="",E215&lt;0,COUNTIF($A$5:$A$16,B215)=0,SUMIF($A$5:$A$16,B215,$F$5:$F$16)=0),"ERROR - INCOMPLETE",IF(COUNTIFS($B$21:B215,B215,$C$21:C215,C215)&gt;1,"ERROR - DUPLICATE",IF(COUNTIFS('08 Allocation Data'!$A$5:$A$34,D215,'08 Allocation Data'!$C$5:$C$34,"Yes")=0,"ERROR - INACTIVE","OK"))))</f>
        <v/>
      </c>
      <c r="H215" s="89"/>
      <c r="I215" s="38">
        <f t="shared" si="20"/>
        <v>0</v>
      </c>
      <c r="J215" s="38">
        <f t="shared" si="21"/>
        <v>0</v>
      </c>
      <c r="K215" s="38">
        <f t="shared" si="22"/>
        <v>0</v>
      </c>
    </row>
    <row r="216" spans="1:11" ht="32" customHeight="1">
      <c r="A216" s="21">
        <v>196</v>
      </c>
      <c r="B216" s="89"/>
      <c r="C216" s="89"/>
      <c r="D216" s="40" t="str">
        <f t="shared" si="18"/>
        <v/>
      </c>
      <c r="E216" s="91"/>
      <c r="F216" s="38">
        <f t="shared" si="19"/>
        <v>0</v>
      </c>
      <c r="G216" s="40" t="str">
        <f>IF(AND(B216="",C216="",E216=""),"",IF(OR(B216="",C216="",E216="",E216&lt;0,COUNTIF($A$5:$A$16,B216)=0,SUMIF($A$5:$A$16,B216,$F$5:$F$16)=0),"ERROR - INCOMPLETE",IF(COUNTIFS($B$21:B216,B216,$C$21:C216,C216)&gt;1,"ERROR - DUPLICATE",IF(COUNTIFS('08 Allocation Data'!$A$5:$A$34,D216,'08 Allocation Data'!$C$5:$C$34,"Yes")=0,"ERROR - INACTIVE","OK"))))</f>
        <v/>
      </c>
      <c r="H216" s="89"/>
      <c r="I216" s="38">
        <f t="shared" si="20"/>
        <v>0</v>
      </c>
      <c r="J216" s="38">
        <f t="shared" si="21"/>
        <v>0</v>
      </c>
      <c r="K216" s="38">
        <f t="shared" si="22"/>
        <v>0</v>
      </c>
    </row>
    <row r="217" spans="1:11" ht="32" customHeight="1">
      <c r="A217" s="21">
        <v>197</v>
      </c>
      <c r="B217" s="89"/>
      <c r="C217" s="89"/>
      <c r="D217" s="40" t="str">
        <f t="shared" si="18"/>
        <v/>
      </c>
      <c r="E217" s="91"/>
      <c r="F217" s="38">
        <f t="shared" si="19"/>
        <v>0</v>
      </c>
      <c r="G217" s="40" t="str">
        <f>IF(AND(B217="",C217="",E217=""),"",IF(OR(B217="",C217="",E217="",E217&lt;0,COUNTIF($A$5:$A$16,B217)=0,SUMIF($A$5:$A$16,B217,$F$5:$F$16)=0),"ERROR - INCOMPLETE",IF(COUNTIFS($B$21:B217,B217,$C$21:C217,C217)&gt;1,"ERROR - DUPLICATE",IF(COUNTIFS('08 Allocation Data'!$A$5:$A$34,D217,'08 Allocation Data'!$C$5:$C$34,"Yes")=0,"ERROR - INACTIVE","OK"))))</f>
        <v/>
      </c>
      <c r="H217" s="89"/>
      <c r="I217" s="38">
        <f t="shared" si="20"/>
        <v>0</v>
      </c>
      <c r="J217" s="38">
        <f t="shared" si="21"/>
        <v>0</v>
      </c>
      <c r="K217" s="38">
        <f t="shared" si="22"/>
        <v>0</v>
      </c>
    </row>
    <row r="218" spans="1:11" ht="32" customHeight="1">
      <c r="A218" s="21">
        <v>198</v>
      </c>
      <c r="B218" s="89"/>
      <c r="C218" s="89"/>
      <c r="D218" s="40" t="str">
        <f t="shared" si="18"/>
        <v/>
      </c>
      <c r="E218" s="91"/>
      <c r="F218" s="38">
        <f t="shared" si="19"/>
        <v>0</v>
      </c>
      <c r="G218" s="40" t="str">
        <f>IF(AND(B218="",C218="",E218=""),"",IF(OR(B218="",C218="",E218="",E218&lt;0,COUNTIF($A$5:$A$16,B218)=0,SUMIF($A$5:$A$16,B218,$F$5:$F$16)=0),"ERROR - INCOMPLETE",IF(COUNTIFS($B$21:B218,B218,$C$21:C218,C218)&gt;1,"ERROR - DUPLICATE",IF(COUNTIFS('08 Allocation Data'!$A$5:$A$34,D218,'08 Allocation Data'!$C$5:$C$34,"Yes")=0,"ERROR - INACTIVE","OK"))))</f>
        <v/>
      </c>
      <c r="H218" s="89"/>
      <c r="I218" s="38">
        <f t="shared" si="20"/>
        <v>0</v>
      </c>
      <c r="J218" s="38">
        <f t="shared" si="21"/>
        <v>0</v>
      </c>
      <c r="K218" s="38">
        <f t="shared" si="22"/>
        <v>0</v>
      </c>
    </row>
    <row r="219" spans="1:11" ht="32" customHeight="1">
      <c r="A219" s="21">
        <v>199</v>
      </c>
      <c r="B219" s="89"/>
      <c r="C219" s="89"/>
      <c r="D219" s="40" t="str">
        <f t="shared" si="18"/>
        <v/>
      </c>
      <c r="E219" s="91"/>
      <c r="F219" s="38">
        <f t="shared" si="19"/>
        <v>0</v>
      </c>
      <c r="G219" s="40" t="str">
        <f>IF(AND(B219="",C219="",E219=""),"",IF(OR(B219="",C219="",E219="",E219&lt;0,COUNTIF($A$5:$A$16,B219)=0,SUMIF($A$5:$A$16,B219,$F$5:$F$16)=0),"ERROR - INCOMPLETE",IF(COUNTIFS($B$21:B219,B219,$C$21:C219,C219)&gt;1,"ERROR - DUPLICATE",IF(COUNTIFS('08 Allocation Data'!$A$5:$A$34,D219,'08 Allocation Data'!$C$5:$C$34,"Yes")=0,"ERROR - INACTIVE","OK"))))</f>
        <v/>
      </c>
      <c r="H219" s="89"/>
      <c r="I219" s="38">
        <f t="shared" si="20"/>
        <v>0</v>
      </c>
      <c r="J219" s="38">
        <f t="shared" si="21"/>
        <v>0</v>
      </c>
      <c r="K219" s="38">
        <f t="shared" si="22"/>
        <v>0</v>
      </c>
    </row>
    <row r="220" spans="1:11" ht="32" customHeight="1">
      <c r="A220" s="21">
        <v>200</v>
      </c>
      <c r="B220" s="89"/>
      <c r="C220" s="89"/>
      <c r="D220" s="40" t="str">
        <f t="shared" si="18"/>
        <v/>
      </c>
      <c r="E220" s="91"/>
      <c r="F220" s="38">
        <f t="shared" si="19"/>
        <v>0</v>
      </c>
      <c r="G220" s="40" t="str">
        <f>IF(AND(B220="",C220="",E220=""),"",IF(OR(B220="",C220="",E220="",E220&lt;0,COUNTIF($A$5:$A$16,B220)=0,SUMIF($A$5:$A$16,B220,$F$5:$F$16)=0),"ERROR - INCOMPLETE",IF(COUNTIFS($B$21:B220,B220,$C$21:C220,C220)&gt;1,"ERROR - DUPLICATE",IF(COUNTIFS('08 Allocation Data'!$A$5:$A$34,D220,'08 Allocation Data'!$C$5:$C$34,"Yes")=0,"ERROR - INACTIVE","OK"))))</f>
        <v/>
      </c>
      <c r="H220" s="89"/>
      <c r="I220" s="38">
        <f t="shared" si="20"/>
        <v>0</v>
      </c>
      <c r="J220" s="38">
        <f t="shared" si="21"/>
        <v>0</v>
      </c>
      <c r="K220" s="38">
        <f t="shared" si="22"/>
        <v>0</v>
      </c>
    </row>
    <row r="221" spans="1:11" ht="32" customHeight="1">
      <c r="A221" s="21">
        <v>201</v>
      </c>
      <c r="B221" s="89"/>
      <c r="C221" s="89"/>
      <c r="D221" s="40" t="str">
        <f t="shared" si="18"/>
        <v/>
      </c>
      <c r="E221" s="91"/>
      <c r="F221" s="38">
        <f t="shared" si="19"/>
        <v>0</v>
      </c>
      <c r="G221" s="40" t="str">
        <f>IF(AND(B221="",C221="",E221=""),"",IF(OR(B221="",C221="",E221="",E221&lt;0,COUNTIF($A$5:$A$16,B221)=0,SUMIF($A$5:$A$16,B221,$F$5:$F$16)=0),"ERROR - INCOMPLETE",IF(COUNTIFS($B$21:B221,B221,$C$21:C221,C221)&gt;1,"ERROR - DUPLICATE",IF(COUNTIFS('08 Allocation Data'!$A$5:$A$34,D221,'08 Allocation Data'!$C$5:$C$34,"Yes")=0,"ERROR - INACTIVE","OK"))))</f>
        <v/>
      </c>
      <c r="H221" s="89"/>
      <c r="I221" s="38">
        <f t="shared" si="20"/>
        <v>0</v>
      </c>
      <c r="J221" s="38">
        <f t="shared" si="21"/>
        <v>0</v>
      </c>
      <c r="K221" s="38">
        <f t="shared" si="22"/>
        <v>0</v>
      </c>
    </row>
    <row r="222" spans="1:11" ht="32" customHeight="1">
      <c r="A222" s="21">
        <v>202</v>
      </c>
      <c r="B222" s="89"/>
      <c r="C222" s="89"/>
      <c r="D222" s="40" t="str">
        <f t="shared" si="18"/>
        <v/>
      </c>
      <c r="E222" s="91"/>
      <c r="F222" s="38">
        <f t="shared" si="19"/>
        <v>0</v>
      </c>
      <c r="G222" s="40" t="str">
        <f>IF(AND(B222="",C222="",E222=""),"",IF(OR(B222="",C222="",E222="",E222&lt;0,COUNTIF($A$5:$A$16,B222)=0,SUMIF($A$5:$A$16,B222,$F$5:$F$16)=0),"ERROR - INCOMPLETE",IF(COUNTIFS($B$21:B222,B222,$C$21:C222,C222)&gt;1,"ERROR - DUPLICATE",IF(COUNTIFS('08 Allocation Data'!$A$5:$A$34,D222,'08 Allocation Data'!$C$5:$C$34,"Yes")=0,"ERROR - INACTIVE","OK"))))</f>
        <v/>
      </c>
      <c r="H222" s="89"/>
      <c r="I222" s="38">
        <f t="shared" si="20"/>
        <v>0</v>
      </c>
      <c r="J222" s="38">
        <f t="shared" si="21"/>
        <v>0</v>
      </c>
      <c r="K222" s="38">
        <f t="shared" si="22"/>
        <v>0</v>
      </c>
    </row>
    <row r="223" spans="1:11" ht="32" customHeight="1">
      <c r="A223" s="21">
        <v>203</v>
      </c>
      <c r="B223" s="89"/>
      <c r="C223" s="89"/>
      <c r="D223" s="40" t="str">
        <f t="shared" si="18"/>
        <v/>
      </c>
      <c r="E223" s="91"/>
      <c r="F223" s="38">
        <f t="shared" si="19"/>
        <v>0</v>
      </c>
      <c r="G223" s="40" t="str">
        <f>IF(AND(B223="",C223="",E223=""),"",IF(OR(B223="",C223="",E223="",E223&lt;0,COUNTIF($A$5:$A$16,B223)=0,SUMIF($A$5:$A$16,B223,$F$5:$F$16)=0),"ERROR - INCOMPLETE",IF(COUNTIFS($B$21:B223,B223,$C$21:C223,C223)&gt;1,"ERROR - DUPLICATE",IF(COUNTIFS('08 Allocation Data'!$A$5:$A$34,D223,'08 Allocation Data'!$C$5:$C$34,"Yes")=0,"ERROR - INACTIVE","OK"))))</f>
        <v/>
      </c>
      <c r="H223" s="89"/>
      <c r="I223" s="38">
        <f t="shared" si="20"/>
        <v>0</v>
      </c>
      <c r="J223" s="38">
        <f t="shared" si="21"/>
        <v>0</v>
      </c>
      <c r="K223" s="38">
        <f t="shared" si="22"/>
        <v>0</v>
      </c>
    </row>
    <row r="224" spans="1:11" ht="32" customHeight="1">
      <c r="A224" s="21">
        <v>204</v>
      </c>
      <c r="B224" s="89"/>
      <c r="C224" s="89"/>
      <c r="D224" s="40" t="str">
        <f t="shared" si="18"/>
        <v/>
      </c>
      <c r="E224" s="91"/>
      <c r="F224" s="38">
        <f t="shared" si="19"/>
        <v>0</v>
      </c>
      <c r="G224" s="40" t="str">
        <f>IF(AND(B224="",C224="",E224=""),"",IF(OR(B224="",C224="",E224="",E224&lt;0,COUNTIF($A$5:$A$16,B224)=0,SUMIF($A$5:$A$16,B224,$F$5:$F$16)=0),"ERROR - INCOMPLETE",IF(COUNTIFS($B$21:B224,B224,$C$21:C224,C224)&gt;1,"ERROR - DUPLICATE",IF(COUNTIFS('08 Allocation Data'!$A$5:$A$34,D224,'08 Allocation Data'!$C$5:$C$34,"Yes")=0,"ERROR - INACTIVE","OK"))))</f>
        <v/>
      </c>
      <c r="H224" s="89"/>
      <c r="I224" s="38">
        <f t="shared" si="20"/>
        <v>0</v>
      </c>
      <c r="J224" s="38">
        <f t="shared" si="21"/>
        <v>0</v>
      </c>
      <c r="K224" s="38">
        <f t="shared" si="22"/>
        <v>0</v>
      </c>
    </row>
    <row r="225" spans="1:11" ht="32" customHeight="1">
      <c r="A225" s="21">
        <v>205</v>
      </c>
      <c r="B225" s="89"/>
      <c r="C225" s="89"/>
      <c r="D225" s="40" t="str">
        <f t="shared" si="18"/>
        <v/>
      </c>
      <c r="E225" s="91"/>
      <c r="F225" s="38">
        <f t="shared" si="19"/>
        <v>0</v>
      </c>
      <c r="G225" s="40" t="str">
        <f>IF(AND(B225="",C225="",E225=""),"",IF(OR(B225="",C225="",E225="",E225&lt;0,COUNTIF($A$5:$A$16,B225)=0,SUMIF($A$5:$A$16,B225,$F$5:$F$16)=0),"ERROR - INCOMPLETE",IF(COUNTIFS($B$21:B225,B225,$C$21:C225,C225)&gt;1,"ERROR - DUPLICATE",IF(COUNTIFS('08 Allocation Data'!$A$5:$A$34,D225,'08 Allocation Data'!$C$5:$C$34,"Yes")=0,"ERROR - INACTIVE","OK"))))</f>
        <v/>
      </c>
      <c r="H225" s="89"/>
      <c r="I225" s="38">
        <f t="shared" si="20"/>
        <v>0</v>
      </c>
      <c r="J225" s="38">
        <f t="shared" si="21"/>
        <v>0</v>
      </c>
      <c r="K225" s="38">
        <f t="shared" si="22"/>
        <v>0</v>
      </c>
    </row>
    <row r="226" spans="1:11" ht="32" customHeight="1">
      <c r="A226" s="21">
        <v>206</v>
      </c>
      <c r="B226" s="89"/>
      <c r="C226" s="89"/>
      <c r="D226" s="40" t="str">
        <f t="shared" si="18"/>
        <v/>
      </c>
      <c r="E226" s="91"/>
      <c r="F226" s="38">
        <f t="shared" si="19"/>
        <v>0</v>
      </c>
      <c r="G226" s="40" t="str">
        <f>IF(AND(B226="",C226="",E226=""),"",IF(OR(B226="",C226="",E226="",E226&lt;0,COUNTIF($A$5:$A$16,B226)=0,SUMIF($A$5:$A$16,B226,$F$5:$F$16)=0),"ERROR - INCOMPLETE",IF(COUNTIFS($B$21:B226,B226,$C$21:C226,C226)&gt;1,"ERROR - DUPLICATE",IF(COUNTIFS('08 Allocation Data'!$A$5:$A$34,D226,'08 Allocation Data'!$C$5:$C$34,"Yes")=0,"ERROR - INACTIVE","OK"))))</f>
        <v/>
      </c>
      <c r="H226" s="89"/>
      <c r="I226" s="38">
        <f t="shared" si="20"/>
        <v>0</v>
      </c>
      <c r="J226" s="38">
        <f t="shared" si="21"/>
        <v>0</v>
      </c>
      <c r="K226" s="38">
        <f t="shared" si="22"/>
        <v>0</v>
      </c>
    </row>
    <row r="227" spans="1:11" ht="32" customHeight="1">
      <c r="A227" s="21">
        <v>207</v>
      </c>
      <c r="B227" s="89"/>
      <c r="C227" s="89"/>
      <c r="D227" s="40" t="str">
        <f t="shared" si="18"/>
        <v/>
      </c>
      <c r="E227" s="91"/>
      <c r="F227" s="38">
        <f t="shared" si="19"/>
        <v>0</v>
      </c>
      <c r="G227" s="40" t="str">
        <f>IF(AND(B227="",C227="",E227=""),"",IF(OR(B227="",C227="",E227="",E227&lt;0,COUNTIF($A$5:$A$16,B227)=0,SUMIF($A$5:$A$16,B227,$F$5:$F$16)=0),"ERROR - INCOMPLETE",IF(COUNTIFS($B$21:B227,B227,$C$21:C227,C227)&gt;1,"ERROR - DUPLICATE",IF(COUNTIFS('08 Allocation Data'!$A$5:$A$34,D227,'08 Allocation Data'!$C$5:$C$34,"Yes")=0,"ERROR - INACTIVE","OK"))))</f>
        <v/>
      </c>
      <c r="H227" s="89"/>
      <c r="I227" s="38">
        <f t="shared" si="20"/>
        <v>0</v>
      </c>
      <c r="J227" s="38">
        <f t="shared" si="21"/>
        <v>0</v>
      </c>
      <c r="K227" s="38">
        <f t="shared" si="22"/>
        <v>0</v>
      </c>
    </row>
    <row r="228" spans="1:11" ht="32" customHeight="1">
      <c r="A228" s="21">
        <v>208</v>
      </c>
      <c r="B228" s="89"/>
      <c r="C228" s="89"/>
      <c r="D228" s="40" t="str">
        <f t="shared" si="18"/>
        <v/>
      </c>
      <c r="E228" s="91"/>
      <c r="F228" s="38">
        <f t="shared" si="19"/>
        <v>0</v>
      </c>
      <c r="G228" s="40" t="str">
        <f>IF(AND(B228="",C228="",E228=""),"",IF(OR(B228="",C228="",E228="",E228&lt;0,COUNTIF($A$5:$A$16,B228)=0,SUMIF($A$5:$A$16,B228,$F$5:$F$16)=0),"ERROR - INCOMPLETE",IF(COUNTIFS($B$21:B228,B228,$C$21:C228,C228)&gt;1,"ERROR - DUPLICATE",IF(COUNTIFS('08 Allocation Data'!$A$5:$A$34,D228,'08 Allocation Data'!$C$5:$C$34,"Yes")=0,"ERROR - INACTIVE","OK"))))</f>
        <v/>
      </c>
      <c r="H228" s="89"/>
      <c r="I228" s="38">
        <f t="shared" si="20"/>
        <v>0</v>
      </c>
      <c r="J228" s="38">
        <f t="shared" si="21"/>
        <v>0</v>
      </c>
      <c r="K228" s="38">
        <f t="shared" si="22"/>
        <v>0</v>
      </c>
    </row>
    <row r="229" spans="1:11" ht="32" customHeight="1">
      <c r="A229" s="21">
        <v>209</v>
      </c>
      <c r="B229" s="89"/>
      <c r="C229" s="89"/>
      <c r="D229" s="40" t="str">
        <f t="shared" si="18"/>
        <v/>
      </c>
      <c r="E229" s="91"/>
      <c r="F229" s="38">
        <f t="shared" si="19"/>
        <v>0</v>
      </c>
      <c r="G229" s="40" t="str">
        <f>IF(AND(B229="",C229="",E229=""),"",IF(OR(B229="",C229="",E229="",E229&lt;0,COUNTIF($A$5:$A$16,B229)=0,SUMIF($A$5:$A$16,B229,$F$5:$F$16)=0),"ERROR - INCOMPLETE",IF(COUNTIFS($B$21:B229,B229,$C$21:C229,C229)&gt;1,"ERROR - DUPLICATE",IF(COUNTIFS('08 Allocation Data'!$A$5:$A$34,D229,'08 Allocation Data'!$C$5:$C$34,"Yes")=0,"ERROR - INACTIVE","OK"))))</f>
        <v/>
      </c>
      <c r="H229" s="89"/>
      <c r="I229" s="38">
        <f t="shared" si="20"/>
        <v>0</v>
      </c>
      <c r="J229" s="38">
        <f t="shared" si="21"/>
        <v>0</v>
      </c>
      <c r="K229" s="38">
        <f t="shared" si="22"/>
        <v>0</v>
      </c>
    </row>
    <row r="230" spans="1:11" ht="32" customHeight="1">
      <c r="A230" s="21">
        <v>210</v>
      </c>
      <c r="B230" s="89"/>
      <c r="C230" s="89"/>
      <c r="D230" s="40" t="str">
        <f t="shared" si="18"/>
        <v/>
      </c>
      <c r="E230" s="91"/>
      <c r="F230" s="38">
        <f t="shared" si="19"/>
        <v>0</v>
      </c>
      <c r="G230" s="40" t="str">
        <f>IF(AND(B230="",C230="",E230=""),"",IF(OR(B230="",C230="",E230="",E230&lt;0,COUNTIF($A$5:$A$16,B230)=0,SUMIF($A$5:$A$16,B230,$F$5:$F$16)=0),"ERROR - INCOMPLETE",IF(COUNTIFS($B$21:B230,B230,$C$21:C230,C230)&gt;1,"ERROR - DUPLICATE",IF(COUNTIFS('08 Allocation Data'!$A$5:$A$34,D230,'08 Allocation Data'!$C$5:$C$34,"Yes")=0,"ERROR - INACTIVE","OK"))))</f>
        <v/>
      </c>
      <c r="H230" s="89"/>
      <c r="I230" s="38">
        <f t="shared" si="20"/>
        <v>0</v>
      </c>
      <c r="J230" s="38">
        <f t="shared" si="21"/>
        <v>0</v>
      </c>
      <c r="K230" s="38">
        <f t="shared" si="22"/>
        <v>0</v>
      </c>
    </row>
    <row r="231" spans="1:11" ht="32" customHeight="1">
      <c r="A231" s="21">
        <v>211</v>
      </c>
      <c r="B231" s="89"/>
      <c r="C231" s="89"/>
      <c r="D231" s="40" t="str">
        <f t="shared" si="18"/>
        <v/>
      </c>
      <c r="E231" s="91"/>
      <c r="F231" s="38">
        <f t="shared" si="19"/>
        <v>0</v>
      </c>
      <c r="G231" s="40" t="str">
        <f>IF(AND(B231="",C231="",E231=""),"",IF(OR(B231="",C231="",E231="",E231&lt;0,COUNTIF($A$5:$A$16,B231)=0,SUMIF($A$5:$A$16,B231,$F$5:$F$16)=0),"ERROR - INCOMPLETE",IF(COUNTIFS($B$21:B231,B231,$C$21:C231,C231)&gt;1,"ERROR - DUPLICATE",IF(COUNTIFS('08 Allocation Data'!$A$5:$A$34,D231,'08 Allocation Data'!$C$5:$C$34,"Yes")=0,"ERROR - INACTIVE","OK"))))</f>
        <v/>
      </c>
      <c r="H231" s="89"/>
      <c r="I231" s="38">
        <f t="shared" si="20"/>
        <v>0</v>
      </c>
      <c r="J231" s="38">
        <f t="shared" si="21"/>
        <v>0</v>
      </c>
      <c r="K231" s="38">
        <f t="shared" si="22"/>
        <v>0</v>
      </c>
    </row>
    <row r="232" spans="1:11" ht="32" customHeight="1">
      <c r="A232" s="21">
        <v>212</v>
      </c>
      <c r="B232" s="89"/>
      <c r="C232" s="89"/>
      <c r="D232" s="40" t="str">
        <f t="shared" si="18"/>
        <v/>
      </c>
      <c r="E232" s="91"/>
      <c r="F232" s="38">
        <f t="shared" si="19"/>
        <v>0</v>
      </c>
      <c r="G232" s="40" t="str">
        <f>IF(AND(B232="",C232="",E232=""),"",IF(OR(B232="",C232="",E232="",E232&lt;0,COUNTIF($A$5:$A$16,B232)=0,SUMIF($A$5:$A$16,B232,$F$5:$F$16)=0),"ERROR - INCOMPLETE",IF(COUNTIFS($B$21:B232,B232,$C$21:C232,C232)&gt;1,"ERROR - DUPLICATE",IF(COUNTIFS('08 Allocation Data'!$A$5:$A$34,D232,'08 Allocation Data'!$C$5:$C$34,"Yes")=0,"ERROR - INACTIVE","OK"))))</f>
        <v/>
      </c>
      <c r="H232" s="89"/>
      <c r="I232" s="38">
        <f t="shared" si="20"/>
        <v>0</v>
      </c>
      <c r="J232" s="38">
        <f t="shared" si="21"/>
        <v>0</v>
      </c>
      <c r="K232" s="38">
        <f t="shared" si="22"/>
        <v>0</v>
      </c>
    </row>
    <row r="233" spans="1:11" ht="32" customHeight="1">
      <c r="A233" s="21">
        <v>213</v>
      </c>
      <c r="B233" s="89"/>
      <c r="C233" s="89"/>
      <c r="D233" s="40" t="str">
        <f t="shared" si="18"/>
        <v/>
      </c>
      <c r="E233" s="91"/>
      <c r="F233" s="38">
        <f t="shared" si="19"/>
        <v>0</v>
      </c>
      <c r="G233" s="40" t="str">
        <f>IF(AND(B233="",C233="",E233=""),"",IF(OR(B233="",C233="",E233="",E233&lt;0,COUNTIF($A$5:$A$16,B233)=0,SUMIF($A$5:$A$16,B233,$F$5:$F$16)=0),"ERROR - INCOMPLETE",IF(COUNTIFS($B$21:B233,B233,$C$21:C233,C233)&gt;1,"ERROR - DUPLICATE",IF(COUNTIFS('08 Allocation Data'!$A$5:$A$34,D233,'08 Allocation Data'!$C$5:$C$34,"Yes")=0,"ERROR - INACTIVE","OK"))))</f>
        <v/>
      </c>
      <c r="H233" s="89"/>
      <c r="I233" s="38">
        <f t="shared" si="20"/>
        <v>0</v>
      </c>
      <c r="J233" s="38">
        <f t="shared" si="21"/>
        <v>0</v>
      </c>
      <c r="K233" s="38">
        <f t="shared" si="22"/>
        <v>0</v>
      </c>
    </row>
    <row r="234" spans="1:11" ht="32" customHeight="1">
      <c r="A234" s="21">
        <v>214</v>
      </c>
      <c r="B234" s="89"/>
      <c r="C234" s="89"/>
      <c r="D234" s="40" t="str">
        <f t="shared" si="18"/>
        <v/>
      </c>
      <c r="E234" s="91"/>
      <c r="F234" s="38">
        <f t="shared" si="19"/>
        <v>0</v>
      </c>
      <c r="G234" s="40" t="str">
        <f>IF(AND(B234="",C234="",E234=""),"",IF(OR(B234="",C234="",E234="",E234&lt;0,COUNTIF($A$5:$A$16,B234)=0,SUMIF($A$5:$A$16,B234,$F$5:$F$16)=0),"ERROR - INCOMPLETE",IF(COUNTIFS($B$21:B234,B234,$C$21:C234,C234)&gt;1,"ERROR - DUPLICATE",IF(COUNTIFS('08 Allocation Data'!$A$5:$A$34,D234,'08 Allocation Data'!$C$5:$C$34,"Yes")=0,"ERROR - INACTIVE","OK"))))</f>
        <v/>
      </c>
      <c r="H234" s="89"/>
      <c r="I234" s="38">
        <f t="shared" si="20"/>
        <v>0</v>
      </c>
      <c r="J234" s="38">
        <f t="shared" si="21"/>
        <v>0</v>
      </c>
      <c r="K234" s="38">
        <f t="shared" si="22"/>
        <v>0</v>
      </c>
    </row>
    <row r="235" spans="1:11" ht="32" customHeight="1">
      <c r="A235" s="21">
        <v>215</v>
      </c>
      <c r="B235" s="89"/>
      <c r="C235" s="89"/>
      <c r="D235" s="40" t="str">
        <f t="shared" si="18"/>
        <v/>
      </c>
      <c r="E235" s="91"/>
      <c r="F235" s="38">
        <f t="shared" si="19"/>
        <v>0</v>
      </c>
      <c r="G235" s="40" t="str">
        <f>IF(AND(B235="",C235="",E235=""),"",IF(OR(B235="",C235="",E235="",E235&lt;0,COUNTIF($A$5:$A$16,B235)=0,SUMIF($A$5:$A$16,B235,$F$5:$F$16)=0),"ERROR - INCOMPLETE",IF(COUNTIFS($B$21:B235,B235,$C$21:C235,C235)&gt;1,"ERROR - DUPLICATE",IF(COUNTIFS('08 Allocation Data'!$A$5:$A$34,D235,'08 Allocation Data'!$C$5:$C$34,"Yes")=0,"ERROR - INACTIVE","OK"))))</f>
        <v/>
      </c>
      <c r="H235" s="89"/>
      <c r="I235" s="38">
        <f t="shared" si="20"/>
        <v>0</v>
      </c>
      <c r="J235" s="38">
        <f t="shared" si="21"/>
        <v>0</v>
      </c>
      <c r="K235" s="38">
        <f t="shared" si="22"/>
        <v>0</v>
      </c>
    </row>
    <row r="236" spans="1:11" ht="32" customHeight="1">
      <c r="A236" s="21">
        <v>216</v>
      </c>
      <c r="B236" s="89"/>
      <c r="C236" s="89"/>
      <c r="D236" s="40" t="str">
        <f t="shared" si="18"/>
        <v/>
      </c>
      <c r="E236" s="91"/>
      <c r="F236" s="38">
        <f t="shared" si="19"/>
        <v>0</v>
      </c>
      <c r="G236" s="40" t="str">
        <f>IF(AND(B236="",C236="",E236=""),"",IF(OR(B236="",C236="",E236="",E236&lt;0,COUNTIF($A$5:$A$16,B236)=0,SUMIF($A$5:$A$16,B236,$F$5:$F$16)=0),"ERROR - INCOMPLETE",IF(COUNTIFS($B$21:B236,B236,$C$21:C236,C236)&gt;1,"ERROR - DUPLICATE",IF(COUNTIFS('08 Allocation Data'!$A$5:$A$34,D236,'08 Allocation Data'!$C$5:$C$34,"Yes")=0,"ERROR - INACTIVE","OK"))))</f>
        <v/>
      </c>
      <c r="H236" s="89"/>
      <c r="I236" s="38">
        <f t="shared" si="20"/>
        <v>0</v>
      </c>
      <c r="J236" s="38">
        <f t="shared" si="21"/>
        <v>0</v>
      </c>
      <c r="K236" s="38">
        <f t="shared" si="22"/>
        <v>0</v>
      </c>
    </row>
    <row r="237" spans="1:11" ht="32" customHeight="1">
      <c r="A237" s="21">
        <v>217</v>
      </c>
      <c r="B237" s="89"/>
      <c r="C237" s="89"/>
      <c r="D237" s="40" t="str">
        <f t="shared" si="18"/>
        <v/>
      </c>
      <c r="E237" s="91"/>
      <c r="F237" s="38">
        <f t="shared" si="19"/>
        <v>0</v>
      </c>
      <c r="G237" s="40" t="str">
        <f>IF(AND(B237="",C237="",E237=""),"",IF(OR(B237="",C237="",E237="",E237&lt;0,COUNTIF($A$5:$A$16,B237)=0,SUMIF($A$5:$A$16,B237,$F$5:$F$16)=0),"ERROR - INCOMPLETE",IF(COUNTIFS($B$21:B237,B237,$C$21:C237,C237)&gt;1,"ERROR - DUPLICATE",IF(COUNTIFS('08 Allocation Data'!$A$5:$A$34,D237,'08 Allocation Data'!$C$5:$C$34,"Yes")=0,"ERROR - INACTIVE","OK"))))</f>
        <v/>
      </c>
      <c r="H237" s="89"/>
      <c r="I237" s="38">
        <f t="shared" si="20"/>
        <v>0</v>
      </c>
      <c r="J237" s="38">
        <f t="shared" si="21"/>
        <v>0</v>
      </c>
      <c r="K237" s="38">
        <f t="shared" si="22"/>
        <v>0</v>
      </c>
    </row>
    <row r="238" spans="1:11" ht="32" customHeight="1">
      <c r="A238" s="21">
        <v>218</v>
      </c>
      <c r="B238" s="89"/>
      <c r="C238" s="89"/>
      <c r="D238" s="40" t="str">
        <f t="shared" si="18"/>
        <v/>
      </c>
      <c r="E238" s="91"/>
      <c r="F238" s="38">
        <f t="shared" si="19"/>
        <v>0</v>
      </c>
      <c r="G238" s="40" t="str">
        <f>IF(AND(B238="",C238="",E238=""),"",IF(OR(B238="",C238="",E238="",E238&lt;0,COUNTIF($A$5:$A$16,B238)=0,SUMIF($A$5:$A$16,B238,$F$5:$F$16)=0),"ERROR - INCOMPLETE",IF(COUNTIFS($B$21:B238,B238,$C$21:C238,C238)&gt;1,"ERROR - DUPLICATE",IF(COUNTIFS('08 Allocation Data'!$A$5:$A$34,D238,'08 Allocation Data'!$C$5:$C$34,"Yes")=0,"ERROR - INACTIVE","OK"))))</f>
        <v/>
      </c>
      <c r="H238" s="89"/>
      <c r="I238" s="38">
        <f t="shared" si="20"/>
        <v>0</v>
      </c>
      <c r="J238" s="38">
        <f t="shared" si="21"/>
        <v>0</v>
      </c>
      <c r="K238" s="38">
        <f t="shared" si="22"/>
        <v>0</v>
      </c>
    </row>
    <row r="239" spans="1:11" ht="32" customHeight="1">
      <c r="A239" s="21">
        <v>219</v>
      </c>
      <c r="B239" s="89"/>
      <c r="C239" s="89"/>
      <c r="D239" s="40" t="str">
        <f t="shared" si="18"/>
        <v/>
      </c>
      <c r="E239" s="91"/>
      <c r="F239" s="38">
        <f t="shared" si="19"/>
        <v>0</v>
      </c>
      <c r="G239" s="40" t="str">
        <f>IF(AND(B239="",C239="",E239=""),"",IF(OR(B239="",C239="",E239="",E239&lt;0,COUNTIF($A$5:$A$16,B239)=0,SUMIF($A$5:$A$16,B239,$F$5:$F$16)=0),"ERROR - INCOMPLETE",IF(COUNTIFS($B$21:B239,B239,$C$21:C239,C239)&gt;1,"ERROR - DUPLICATE",IF(COUNTIFS('08 Allocation Data'!$A$5:$A$34,D239,'08 Allocation Data'!$C$5:$C$34,"Yes")=0,"ERROR - INACTIVE","OK"))))</f>
        <v/>
      </c>
      <c r="H239" s="89"/>
      <c r="I239" s="38">
        <f t="shared" si="20"/>
        <v>0</v>
      </c>
      <c r="J239" s="38">
        <f t="shared" si="21"/>
        <v>0</v>
      </c>
      <c r="K239" s="38">
        <f t="shared" si="22"/>
        <v>0</v>
      </c>
    </row>
    <row r="240" spans="1:11" ht="32" customHeight="1">
      <c r="A240" s="21">
        <v>220</v>
      </c>
      <c r="B240" s="89"/>
      <c r="C240" s="89"/>
      <c r="D240" s="40" t="str">
        <f t="shared" si="18"/>
        <v/>
      </c>
      <c r="E240" s="91"/>
      <c r="F240" s="38">
        <f t="shared" si="19"/>
        <v>0</v>
      </c>
      <c r="G240" s="40" t="str">
        <f>IF(AND(B240="",C240="",E240=""),"",IF(OR(B240="",C240="",E240="",E240&lt;0,COUNTIF($A$5:$A$16,B240)=0,SUMIF($A$5:$A$16,B240,$F$5:$F$16)=0),"ERROR - INCOMPLETE",IF(COUNTIFS($B$21:B240,B240,$C$21:C240,C240)&gt;1,"ERROR - DUPLICATE",IF(COUNTIFS('08 Allocation Data'!$A$5:$A$34,D240,'08 Allocation Data'!$C$5:$C$34,"Yes")=0,"ERROR - INACTIVE","OK"))))</f>
        <v/>
      </c>
      <c r="H240" s="89"/>
      <c r="I240" s="38">
        <f t="shared" si="20"/>
        <v>0</v>
      </c>
      <c r="J240" s="38">
        <f t="shared" si="21"/>
        <v>0</v>
      </c>
      <c r="K240" s="38">
        <f t="shared" si="22"/>
        <v>0</v>
      </c>
    </row>
    <row r="241" spans="1:11" ht="32" customHeight="1">
      <c r="A241" s="21">
        <v>221</v>
      </c>
      <c r="B241" s="89"/>
      <c r="C241" s="89"/>
      <c r="D241" s="40" t="str">
        <f t="shared" si="18"/>
        <v/>
      </c>
      <c r="E241" s="91"/>
      <c r="F241" s="38">
        <f t="shared" si="19"/>
        <v>0</v>
      </c>
      <c r="G241" s="40" t="str">
        <f>IF(AND(B241="",C241="",E241=""),"",IF(OR(B241="",C241="",E241="",E241&lt;0,COUNTIF($A$5:$A$16,B241)=0,SUMIF($A$5:$A$16,B241,$F$5:$F$16)=0),"ERROR - INCOMPLETE",IF(COUNTIFS($B$21:B241,B241,$C$21:C241,C241)&gt;1,"ERROR - DUPLICATE",IF(COUNTIFS('08 Allocation Data'!$A$5:$A$34,D241,'08 Allocation Data'!$C$5:$C$34,"Yes")=0,"ERROR - INACTIVE","OK"))))</f>
        <v/>
      </c>
      <c r="H241" s="89"/>
      <c r="I241" s="38">
        <f t="shared" si="20"/>
        <v>0</v>
      </c>
      <c r="J241" s="38">
        <f t="shared" si="21"/>
        <v>0</v>
      </c>
      <c r="K241" s="38">
        <f t="shared" si="22"/>
        <v>0</v>
      </c>
    </row>
    <row r="242" spans="1:11" ht="32" customHeight="1">
      <c r="A242" s="21">
        <v>222</v>
      </c>
      <c r="B242" s="89"/>
      <c r="C242" s="89"/>
      <c r="D242" s="40" t="str">
        <f t="shared" si="18"/>
        <v/>
      </c>
      <c r="E242" s="91"/>
      <c r="F242" s="38">
        <f t="shared" si="19"/>
        <v>0</v>
      </c>
      <c r="G242" s="40" t="str">
        <f>IF(AND(B242="",C242="",E242=""),"",IF(OR(B242="",C242="",E242="",E242&lt;0,COUNTIF($A$5:$A$16,B242)=0,SUMIF($A$5:$A$16,B242,$F$5:$F$16)=0),"ERROR - INCOMPLETE",IF(COUNTIFS($B$21:B242,B242,$C$21:C242,C242)&gt;1,"ERROR - DUPLICATE",IF(COUNTIFS('08 Allocation Data'!$A$5:$A$34,D242,'08 Allocation Data'!$C$5:$C$34,"Yes")=0,"ERROR - INACTIVE","OK"))))</f>
        <v/>
      </c>
      <c r="H242" s="89"/>
      <c r="I242" s="38">
        <f t="shared" si="20"/>
        <v>0</v>
      </c>
      <c r="J242" s="38">
        <f t="shared" si="21"/>
        <v>0</v>
      </c>
      <c r="K242" s="38">
        <f t="shared" si="22"/>
        <v>0</v>
      </c>
    </row>
    <row r="243" spans="1:11" ht="32" customHeight="1">
      <c r="A243" s="21">
        <v>223</v>
      </c>
      <c r="B243" s="89"/>
      <c r="C243" s="89"/>
      <c r="D243" s="40" t="str">
        <f t="shared" si="18"/>
        <v/>
      </c>
      <c r="E243" s="91"/>
      <c r="F243" s="38">
        <f t="shared" si="19"/>
        <v>0</v>
      </c>
      <c r="G243" s="40" t="str">
        <f>IF(AND(B243="",C243="",E243=""),"",IF(OR(B243="",C243="",E243="",E243&lt;0,COUNTIF($A$5:$A$16,B243)=0,SUMIF($A$5:$A$16,B243,$F$5:$F$16)=0),"ERROR - INCOMPLETE",IF(COUNTIFS($B$21:B243,B243,$C$21:C243,C243)&gt;1,"ERROR - DUPLICATE",IF(COUNTIFS('08 Allocation Data'!$A$5:$A$34,D243,'08 Allocation Data'!$C$5:$C$34,"Yes")=0,"ERROR - INACTIVE","OK"))))</f>
        <v/>
      </c>
      <c r="H243" s="89"/>
      <c r="I243" s="38">
        <f t="shared" si="20"/>
        <v>0</v>
      </c>
      <c r="J243" s="38">
        <f t="shared" si="21"/>
        <v>0</v>
      </c>
      <c r="K243" s="38">
        <f t="shared" si="22"/>
        <v>0</v>
      </c>
    </row>
    <row r="244" spans="1:11" ht="32" customHeight="1">
      <c r="A244" s="21">
        <v>224</v>
      </c>
      <c r="B244" s="89"/>
      <c r="C244" s="89"/>
      <c r="D244" s="40" t="str">
        <f t="shared" si="18"/>
        <v/>
      </c>
      <c r="E244" s="91"/>
      <c r="F244" s="38">
        <f t="shared" si="19"/>
        <v>0</v>
      </c>
      <c r="G244" s="40" t="str">
        <f>IF(AND(B244="",C244="",E244=""),"",IF(OR(B244="",C244="",E244="",E244&lt;0,COUNTIF($A$5:$A$16,B244)=0,SUMIF($A$5:$A$16,B244,$F$5:$F$16)=0),"ERROR - INCOMPLETE",IF(COUNTIFS($B$21:B244,B244,$C$21:C244,C244)&gt;1,"ERROR - DUPLICATE",IF(COUNTIFS('08 Allocation Data'!$A$5:$A$34,D244,'08 Allocation Data'!$C$5:$C$34,"Yes")=0,"ERROR - INACTIVE","OK"))))</f>
        <v/>
      </c>
      <c r="H244" s="89"/>
      <c r="I244" s="38">
        <f t="shared" si="20"/>
        <v>0</v>
      </c>
      <c r="J244" s="38">
        <f t="shared" si="21"/>
        <v>0</v>
      </c>
      <c r="K244" s="38">
        <f t="shared" si="22"/>
        <v>0</v>
      </c>
    </row>
    <row r="245" spans="1:11" ht="32" customHeight="1">
      <c r="A245" s="21">
        <v>225</v>
      </c>
      <c r="B245" s="89"/>
      <c r="C245" s="89"/>
      <c r="D245" s="40" t="str">
        <f t="shared" si="18"/>
        <v/>
      </c>
      <c r="E245" s="91"/>
      <c r="F245" s="38">
        <f t="shared" si="19"/>
        <v>0</v>
      </c>
      <c r="G245" s="40" t="str">
        <f>IF(AND(B245="",C245="",E245=""),"",IF(OR(B245="",C245="",E245="",E245&lt;0,COUNTIF($A$5:$A$16,B245)=0,SUMIF($A$5:$A$16,B245,$F$5:$F$16)=0),"ERROR - INCOMPLETE",IF(COUNTIFS($B$21:B245,B245,$C$21:C245,C245)&gt;1,"ERROR - DUPLICATE",IF(COUNTIFS('08 Allocation Data'!$A$5:$A$34,D245,'08 Allocation Data'!$C$5:$C$34,"Yes")=0,"ERROR - INACTIVE","OK"))))</f>
        <v/>
      </c>
      <c r="H245" s="89"/>
      <c r="I245" s="38">
        <f t="shared" si="20"/>
        <v>0</v>
      </c>
      <c r="J245" s="38">
        <f t="shared" si="21"/>
        <v>0</v>
      </c>
      <c r="K245" s="38">
        <f t="shared" si="22"/>
        <v>0</v>
      </c>
    </row>
    <row r="246" spans="1:11" ht="32" customHeight="1">
      <c r="A246" s="21">
        <v>226</v>
      </c>
      <c r="B246" s="89"/>
      <c r="C246" s="89"/>
      <c r="D246" s="40" t="str">
        <f t="shared" si="18"/>
        <v/>
      </c>
      <c r="E246" s="91"/>
      <c r="F246" s="38">
        <f t="shared" si="19"/>
        <v>0</v>
      </c>
      <c r="G246" s="40" t="str">
        <f>IF(AND(B246="",C246="",E246=""),"",IF(OR(B246="",C246="",E246="",E246&lt;0,COUNTIF($A$5:$A$16,B246)=0,SUMIF($A$5:$A$16,B246,$F$5:$F$16)=0),"ERROR - INCOMPLETE",IF(COUNTIFS($B$21:B246,B246,$C$21:C246,C246)&gt;1,"ERROR - DUPLICATE",IF(COUNTIFS('08 Allocation Data'!$A$5:$A$34,D246,'08 Allocation Data'!$C$5:$C$34,"Yes")=0,"ERROR - INACTIVE","OK"))))</f>
        <v/>
      </c>
      <c r="H246" s="89"/>
      <c r="I246" s="38">
        <f t="shared" si="20"/>
        <v>0</v>
      </c>
      <c r="J246" s="38">
        <f t="shared" si="21"/>
        <v>0</v>
      </c>
      <c r="K246" s="38">
        <f t="shared" si="22"/>
        <v>0</v>
      </c>
    </row>
    <row r="247" spans="1:11" ht="32" customHeight="1">
      <c r="A247" s="21">
        <v>227</v>
      </c>
      <c r="B247" s="89"/>
      <c r="C247" s="89"/>
      <c r="D247" s="40" t="str">
        <f t="shared" si="18"/>
        <v/>
      </c>
      <c r="E247" s="91"/>
      <c r="F247" s="38">
        <f t="shared" si="19"/>
        <v>0</v>
      </c>
      <c r="G247" s="40" t="str">
        <f>IF(AND(B247="",C247="",E247=""),"",IF(OR(B247="",C247="",E247="",E247&lt;0,COUNTIF($A$5:$A$16,B247)=0,SUMIF($A$5:$A$16,B247,$F$5:$F$16)=0),"ERROR - INCOMPLETE",IF(COUNTIFS($B$21:B247,B247,$C$21:C247,C247)&gt;1,"ERROR - DUPLICATE",IF(COUNTIFS('08 Allocation Data'!$A$5:$A$34,D247,'08 Allocation Data'!$C$5:$C$34,"Yes")=0,"ERROR - INACTIVE","OK"))))</f>
        <v/>
      </c>
      <c r="H247" s="89"/>
      <c r="I247" s="38">
        <f t="shared" si="20"/>
        <v>0</v>
      </c>
      <c r="J247" s="38">
        <f t="shared" si="21"/>
        <v>0</v>
      </c>
      <c r="K247" s="38">
        <f t="shared" si="22"/>
        <v>0</v>
      </c>
    </row>
    <row r="248" spans="1:11" ht="32" customHeight="1">
      <c r="A248" s="21">
        <v>228</v>
      </c>
      <c r="B248" s="89"/>
      <c r="C248" s="89"/>
      <c r="D248" s="40" t="str">
        <f t="shared" si="18"/>
        <v/>
      </c>
      <c r="E248" s="91"/>
      <c r="F248" s="38">
        <f t="shared" si="19"/>
        <v>0</v>
      </c>
      <c r="G248" s="40" t="str">
        <f>IF(AND(B248="",C248="",E248=""),"",IF(OR(B248="",C248="",E248="",E248&lt;0,COUNTIF($A$5:$A$16,B248)=0,SUMIF($A$5:$A$16,B248,$F$5:$F$16)=0),"ERROR - INCOMPLETE",IF(COUNTIFS($B$21:B248,B248,$C$21:C248,C248)&gt;1,"ERROR - DUPLICATE",IF(COUNTIFS('08 Allocation Data'!$A$5:$A$34,D248,'08 Allocation Data'!$C$5:$C$34,"Yes")=0,"ERROR - INACTIVE","OK"))))</f>
        <v/>
      </c>
      <c r="H248" s="89"/>
      <c r="I248" s="38">
        <f t="shared" si="20"/>
        <v>0</v>
      </c>
      <c r="J248" s="38">
        <f t="shared" si="21"/>
        <v>0</v>
      </c>
      <c r="K248" s="38">
        <f t="shared" si="22"/>
        <v>0</v>
      </c>
    </row>
    <row r="249" spans="1:11" ht="32" customHeight="1">
      <c r="A249" s="21">
        <v>229</v>
      </c>
      <c r="B249" s="89"/>
      <c r="C249" s="89"/>
      <c r="D249" s="40" t="str">
        <f t="shared" si="18"/>
        <v/>
      </c>
      <c r="E249" s="91"/>
      <c r="F249" s="38">
        <f t="shared" si="19"/>
        <v>0</v>
      </c>
      <c r="G249" s="40" t="str">
        <f>IF(AND(B249="",C249="",E249=""),"",IF(OR(B249="",C249="",E249="",E249&lt;0,COUNTIF($A$5:$A$16,B249)=0,SUMIF($A$5:$A$16,B249,$F$5:$F$16)=0),"ERROR - INCOMPLETE",IF(COUNTIFS($B$21:B249,B249,$C$21:C249,C249)&gt;1,"ERROR - DUPLICATE",IF(COUNTIFS('08 Allocation Data'!$A$5:$A$34,D249,'08 Allocation Data'!$C$5:$C$34,"Yes")=0,"ERROR - INACTIVE","OK"))))</f>
        <v/>
      </c>
      <c r="H249" s="89"/>
      <c r="I249" s="38">
        <f t="shared" si="20"/>
        <v>0</v>
      </c>
      <c r="J249" s="38">
        <f t="shared" si="21"/>
        <v>0</v>
      </c>
      <c r="K249" s="38">
        <f t="shared" si="22"/>
        <v>0</v>
      </c>
    </row>
    <row r="250" spans="1:11" ht="32" customHeight="1">
      <c r="A250" s="21">
        <v>230</v>
      </c>
      <c r="B250" s="89"/>
      <c r="C250" s="89"/>
      <c r="D250" s="40" t="str">
        <f t="shared" si="18"/>
        <v/>
      </c>
      <c r="E250" s="91"/>
      <c r="F250" s="38">
        <f t="shared" si="19"/>
        <v>0</v>
      </c>
      <c r="G250" s="40" t="str">
        <f>IF(AND(B250="",C250="",E250=""),"",IF(OR(B250="",C250="",E250="",E250&lt;0,COUNTIF($A$5:$A$16,B250)=0,SUMIF($A$5:$A$16,B250,$F$5:$F$16)=0),"ERROR - INCOMPLETE",IF(COUNTIFS($B$21:B250,B250,$C$21:C250,C250)&gt;1,"ERROR - DUPLICATE",IF(COUNTIFS('08 Allocation Data'!$A$5:$A$34,D250,'08 Allocation Data'!$C$5:$C$34,"Yes")=0,"ERROR - INACTIVE","OK"))))</f>
        <v/>
      </c>
      <c r="H250" s="89"/>
      <c r="I250" s="38">
        <f t="shared" si="20"/>
        <v>0</v>
      </c>
      <c r="J250" s="38">
        <f t="shared" si="21"/>
        <v>0</v>
      </c>
      <c r="K250" s="38">
        <f t="shared" si="22"/>
        <v>0</v>
      </c>
    </row>
    <row r="251" spans="1:11" ht="32" customHeight="1">
      <c r="A251" s="21">
        <v>231</v>
      </c>
      <c r="B251" s="89"/>
      <c r="C251" s="89"/>
      <c r="D251" s="40" t="str">
        <f t="shared" si="18"/>
        <v/>
      </c>
      <c r="E251" s="91"/>
      <c r="F251" s="38">
        <f t="shared" si="19"/>
        <v>0</v>
      </c>
      <c r="G251" s="40" t="str">
        <f>IF(AND(B251="",C251="",E251=""),"",IF(OR(B251="",C251="",E251="",E251&lt;0,COUNTIF($A$5:$A$16,B251)=0,SUMIF($A$5:$A$16,B251,$F$5:$F$16)=0),"ERROR - INCOMPLETE",IF(COUNTIFS($B$21:B251,B251,$C$21:C251,C251)&gt;1,"ERROR - DUPLICATE",IF(COUNTIFS('08 Allocation Data'!$A$5:$A$34,D251,'08 Allocation Data'!$C$5:$C$34,"Yes")=0,"ERROR - INACTIVE","OK"))))</f>
        <v/>
      </c>
      <c r="H251" s="89"/>
      <c r="I251" s="38">
        <f t="shared" si="20"/>
        <v>0</v>
      </c>
      <c r="J251" s="38">
        <f t="shared" si="21"/>
        <v>0</v>
      </c>
      <c r="K251" s="38">
        <f t="shared" si="22"/>
        <v>0</v>
      </c>
    </row>
    <row r="252" spans="1:11" ht="32" customHeight="1">
      <c r="A252" s="21">
        <v>232</v>
      </c>
      <c r="B252" s="89"/>
      <c r="C252" s="89"/>
      <c r="D252" s="40" t="str">
        <f t="shared" si="18"/>
        <v/>
      </c>
      <c r="E252" s="91"/>
      <c r="F252" s="38">
        <f t="shared" si="19"/>
        <v>0</v>
      </c>
      <c r="G252" s="40" t="str">
        <f>IF(AND(B252="",C252="",E252=""),"",IF(OR(B252="",C252="",E252="",E252&lt;0,COUNTIF($A$5:$A$16,B252)=0,SUMIF($A$5:$A$16,B252,$F$5:$F$16)=0),"ERROR - INCOMPLETE",IF(COUNTIFS($B$21:B252,B252,$C$21:C252,C252)&gt;1,"ERROR - DUPLICATE",IF(COUNTIFS('08 Allocation Data'!$A$5:$A$34,D252,'08 Allocation Data'!$C$5:$C$34,"Yes")=0,"ERROR - INACTIVE","OK"))))</f>
        <v/>
      </c>
      <c r="H252" s="89"/>
      <c r="I252" s="38">
        <f t="shared" si="20"/>
        <v>0</v>
      </c>
      <c r="J252" s="38">
        <f t="shared" si="21"/>
        <v>0</v>
      </c>
      <c r="K252" s="38">
        <f t="shared" si="22"/>
        <v>0</v>
      </c>
    </row>
    <row r="253" spans="1:11" ht="32" customHeight="1">
      <c r="A253" s="21">
        <v>233</v>
      </c>
      <c r="B253" s="89"/>
      <c r="C253" s="89"/>
      <c r="D253" s="40" t="str">
        <f t="shared" si="18"/>
        <v/>
      </c>
      <c r="E253" s="91"/>
      <c r="F253" s="38">
        <f t="shared" si="19"/>
        <v>0</v>
      </c>
      <c r="G253" s="40" t="str">
        <f>IF(AND(B253="",C253="",E253=""),"",IF(OR(B253="",C253="",E253="",E253&lt;0,COUNTIF($A$5:$A$16,B253)=0,SUMIF($A$5:$A$16,B253,$F$5:$F$16)=0),"ERROR - INCOMPLETE",IF(COUNTIFS($B$21:B253,B253,$C$21:C253,C253)&gt;1,"ERROR - DUPLICATE",IF(COUNTIFS('08 Allocation Data'!$A$5:$A$34,D253,'08 Allocation Data'!$C$5:$C$34,"Yes")=0,"ERROR - INACTIVE","OK"))))</f>
        <v/>
      </c>
      <c r="H253" s="89"/>
      <c r="I253" s="38">
        <f t="shared" si="20"/>
        <v>0</v>
      </c>
      <c r="J253" s="38">
        <f t="shared" si="21"/>
        <v>0</v>
      </c>
      <c r="K253" s="38">
        <f t="shared" si="22"/>
        <v>0</v>
      </c>
    </row>
    <row r="254" spans="1:11" ht="32" customHeight="1">
      <c r="A254" s="21">
        <v>234</v>
      </c>
      <c r="B254" s="89"/>
      <c r="C254" s="89"/>
      <c r="D254" s="40" t="str">
        <f t="shared" si="18"/>
        <v/>
      </c>
      <c r="E254" s="91"/>
      <c r="F254" s="38">
        <f t="shared" si="19"/>
        <v>0</v>
      </c>
      <c r="G254" s="40" t="str">
        <f>IF(AND(B254="",C254="",E254=""),"",IF(OR(B254="",C254="",E254="",E254&lt;0,COUNTIF($A$5:$A$16,B254)=0,SUMIF($A$5:$A$16,B254,$F$5:$F$16)=0),"ERROR - INCOMPLETE",IF(COUNTIFS($B$21:B254,B254,$C$21:C254,C254)&gt;1,"ERROR - DUPLICATE",IF(COUNTIFS('08 Allocation Data'!$A$5:$A$34,D254,'08 Allocation Data'!$C$5:$C$34,"Yes")=0,"ERROR - INACTIVE","OK"))))</f>
        <v/>
      </c>
      <c r="H254" s="89"/>
      <c r="I254" s="38">
        <f t="shared" si="20"/>
        <v>0</v>
      </c>
      <c r="J254" s="38">
        <f t="shared" si="21"/>
        <v>0</v>
      </c>
      <c r="K254" s="38">
        <f t="shared" si="22"/>
        <v>0</v>
      </c>
    </row>
    <row r="255" spans="1:11" ht="32" customHeight="1">
      <c r="A255" s="21">
        <v>235</v>
      </c>
      <c r="B255" s="89"/>
      <c r="C255" s="89"/>
      <c r="D255" s="40" t="str">
        <f t="shared" si="18"/>
        <v/>
      </c>
      <c r="E255" s="91"/>
      <c r="F255" s="38">
        <f t="shared" si="19"/>
        <v>0</v>
      </c>
      <c r="G255" s="40" t="str">
        <f>IF(AND(B255="",C255="",E255=""),"",IF(OR(B255="",C255="",E255="",E255&lt;0,COUNTIF($A$5:$A$16,B255)=0,SUMIF($A$5:$A$16,B255,$F$5:$F$16)=0),"ERROR - INCOMPLETE",IF(COUNTIFS($B$21:B255,B255,$C$21:C255,C255)&gt;1,"ERROR - DUPLICATE",IF(COUNTIFS('08 Allocation Data'!$A$5:$A$34,D255,'08 Allocation Data'!$C$5:$C$34,"Yes")=0,"ERROR - INACTIVE","OK"))))</f>
        <v/>
      </c>
      <c r="H255" s="89"/>
      <c r="I255" s="38">
        <f t="shared" si="20"/>
        <v>0</v>
      </c>
      <c r="J255" s="38">
        <f t="shared" si="21"/>
        <v>0</v>
      </c>
      <c r="K255" s="38">
        <f t="shared" si="22"/>
        <v>0</v>
      </c>
    </row>
    <row r="256" spans="1:11" ht="32" customHeight="1">
      <c r="A256" s="21">
        <v>236</v>
      </c>
      <c r="B256" s="89"/>
      <c r="C256" s="89"/>
      <c r="D256" s="40" t="str">
        <f t="shared" si="18"/>
        <v/>
      </c>
      <c r="E256" s="91"/>
      <c r="F256" s="38">
        <f t="shared" si="19"/>
        <v>0</v>
      </c>
      <c r="G256" s="40" t="str">
        <f>IF(AND(B256="",C256="",E256=""),"",IF(OR(B256="",C256="",E256="",E256&lt;0,COUNTIF($A$5:$A$16,B256)=0,SUMIF($A$5:$A$16,B256,$F$5:$F$16)=0),"ERROR - INCOMPLETE",IF(COUNTIFS($B$21:B256,B256,$C$21:C256,C256)&gt;1,"ERROR - DUPLICATE",IF(COUNTIFS('08 Allocation Data'!$A$5:$A$34,D256,'08 Allocation Data'!$C$5:$C$34,"Yes")=0,"ERROR - INACTIVE","OK"))))</f>
        <v/>
      </c>
      <c r="H256" s="89"/>
      <c r="I256" s="38">
        <f t="shared" si="20"/>
        <v>0</v>
      </c>
      <c r="J256" s="38">
        <f t="shared" si="21"/>
        <v>0</v>
      </c>
      <c r="K256" s="38">
        <f t="shared" si="22"/>
        <v>0</v>
      </c>
    </row>
    <row r="257" spans="1:11" ht="32" customHeight="1">
      <c r="A257" s="21">
        <v>237</v>
      </c>
      <c r="B257" s="89"/>
      <c r="C257" s="89"/>
      <c r="D257" s="40" t="str">
        <f t="shared" si="18"/>
        <v/>
      </c>
      <c r="E257" s="91"/>
      <c r="F257" s="38">
        <f t="shared" si="19"/>
        <v>0</v>
      </c>
      <c r="G257" s="40" t="str">
        <f>IF(AND(B257="",C257="",E257=""),"",IF(OR(B257="",C257="",E257="",E257&lt;0,COUNTIF($A$5:$A$16,B257)=0,SUMIF($A$5:$A$16,B257,$F$5:$F$16)=0),"ERROR - INCOMPLETE",IF(COUNTIFS($B$21:B257,B257,$C$21:C257,C257)&gt;1,"ERROR - DUPLICATE",IF(COUNTIFS('08 Allocation Data'!$A$5:$A$34,D257,'08 Allocation Data'!$C$5:$C$34,"Yes")=0,"ERROR - INACTIVE","OK"))))</f>
        <v/>
      </c>
      <c r="H257" s="89"/>
      <c r="I257" s="38">
        <f t="shared" si="20"/>
        <v>0</v>
      </c>
      <c r="J257" s="38">
        <f t="shared" si="21"/>
        <v>0</v>
      </c>
      <c r="K257" s="38">
        <f t="shared" si="22"/>
        <v>0</v>
      </c>
    </row>
    <row r="258" spans="1:11" ht="32" customHeight="1">
      <c r="A258" s="21">
        <v>238</v>
      </c>
      <c r="B258" s="89"/>
      <c r="C258" s="89"/>
      <c r="D258" s="40" t="str">
        <f t="shared" si="18"/>
        <v/>
      </c>
      <c r="E258" s="91"/>
      <c r="F258" s="38">
        <f t="shared" si="19"/>
        <v>0</v>
      </c>
      <c r="G258" s="40" t="str">
        <f>IF(AND(B258="",C258="",E258=""),"",IF(OR(B258="",C258="",E258="",E258&lt;0,COUNTIF($A$5:$A$16,B258)=0,SUMIF($A$5:$A$16,B258,$F$5:$F$16)=0),"ERROR - INCOMPLETE",IF(COUNTIFS($B$21:B258,B258,$C$21:C258,C258)&gt;1,"ERROR - DUPLICATE",IF(COUNTIFS('08 Allocation Data'!$A$5:$A$34,D258,'08 Allocation Data'!$C$5:$C$34,"Yes")=0,"ERROR - INACTIVE","OK"))))</f>
        <v/>
      </c>
      <c r="H258" s="89"/>
      <c r="I258" s="38">
        <f t="shared" si="20"/>
        <v>0</v>
      </c>
      <c r="J258" s="38">
        <f t="shared" si="21"/>
        <v>0</v>
      </c>
      <c r="K258" s="38">
        <f t="shared" si="22"/>
        <v>0</v>
      </c>
    </row>
    <row r="259" spans="1:11" ht="32" customHeight="1">
      <c r="A259" s="21">
        <v>239</v>
      </c>
      <c r="B259" s="89"/>
      <c r="C259" s="89"/>
      <c r="D259" s="40" t="str">
        <f t="shared" si="18"/>
        <v/>
      </c>
      <c r="E259" s="91"/>
      <c r="F259" s="38">
        <f t="shared" si="19"/>
        <v>0</v>
      </c>
      <c r="G259" s="40" t="str">
        <f>IF(AND(B259="",C259="",E259=""),"",IF(OR(B259="",C259="",E259="",E259&lt;0,COUNTIF($A$5:$A$16,B259)=0,SUMIF($A$5:$A$16,B259,$F$5:$F$16)=0),"ERROR - INCOMPLETE",IF(COUNTIFS($B$21:B259,B259,$C$21:C259,C259)&gt;1,"ERROR - DUPLICATE",IF(COUNTIFS('08 Allocation Data'!$A$5:$A$34,D259,'08 Allocation Data'!$C$5:$C$34,"Yes")=0,"ERROR - INACTIVE","OK"))))</f>
        <v/>
      </c>
      <c r="H259" s="89"/>
      <c r="I259" s="38">
        <f t="shared" si="20"/>
        <v>0</v>
      </c>
      <c r="J259" s="38">
        <f t="shared" si="21"/>
        <v>0</v>
      </c>
      <c r="K259" s="38">
        <f t="shared" si="22"/>
        <v>0</v>
      </c>
    </row>
    <row r="260" spans="1:11" ht="32" customHeight="1">
      <c r="A260" s="21">
        <v>240</v>
      </c>
      <c r="B260" s="89"/>
      <c r="C260" s="89"/>
      <c r="D260" s="40" t="str">
        <f t="shared" si="18"/>
        <v/>
      </c>
      <c r="E260" s="91"/>
      <c r="F260" s="38">
        <f t="shared" si="19"/>
        <v>0</v>
      </c>
      <c r="G260" s="40" t="str">
        <f>IF(AND(B260="",C260="",E260=""),"",IF(OR(B260="",C260="",E260="",E260&lt;0,COUNTIF($A$5:$A$16,B260)=0,SUMIF($A$5:$A$16,B260,$F$5:$F$16)=0),"ERROR - INCOMPLETE",IF(COUNTIFS($B$21:B260,B260,$C$21:C260,C260)&gt;1,"ERROR - DUPLICATE",IF(COUNTIFS('08 Allocation Data'!$A$5:$A$34,D260,'08 Allocation Data'!$C$5:$C$34,"Yes")=0,"ERROR - INACTIVE","OK"))))</f>
        <v/>
      </c>
      <c r="H260" s="89"/>
      <c r="I260" s="38">
        <f t="shared" si="20"/>
        <v>0</v>
      </c>
      <c r="J260" s="38">
        <f t="shared" si="21"/>
        <v>0</v>
      </c>
      <c r="K260" s="38">
        <f t="shared" si="22"/>
        <v>0</v>
      </c>
    </row>
  </sheetData>
  <sheetProtection sheet="1" objects="1" scenarios="1" formatColumns="0" formatRows="0"/>
  <mergeCells count="3">
    <mergeCell ref="A1:K1"/>
    <mergeCell ref="A2:K2"/>
    <mergeCell ref="A19:K19"/>
  </mergeCells>
  <dataValidations count="1">
    <dataValidation type="list" allowBlank="1" showErrorMessage="1" errorTitle="Choose a listed value" error="Use the dropdown list." sqref="B21:B260" xr:uid="{00000000-0002-0000-0500-000000000000}">
      <formula1>"POOL01,POOL02,POOL03,POOL04,POOL05,POOL06,POOL07,POOL08,POOL09,POOL10,POOL11,POOL12"</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errorTitle="Choose a listed value" error="Use the dropdown list." xr:uid="{00000000-0002-0000-0500-000001000000}">
          <x14:formula1>
            <xm:f>'08 Allocation Data'!$Q$5:$Q$34</xm:f>
          </x14:formula1>
          <xm:sqref>C21:C260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showGridLines="0" workbookViewId="0">
      <selection activeCell="D10" sqref="D10"/>
    </sheetView>
  </sheetViews>
  <sheetFormatPr baseColWidth="10" defaultColWidth="8.83203125" defaultRowHeight="14"/>
  <cols>
    <col min="1" max="1" width="15" customWidth="1"/>
    <col min="2" max="2" width="42" customWidth="1"/>
    <col min="3" max="4" width="24" customWidth="1"/>
    <col min="5" max="5" width="42" customWidth="1"/>
    <col min="6" max="6" width="17" customWidth="1"/>
    <col min="7" max="7" width="22" customWidth="1"/>
    <col min="8" max="8" width="30" customWidth="1"/>
    <col min="9" max="9" width="48" customWidth="1"/>
  </cols>
  <sheetData>
    <row r="1" spans="1:9" ht="34" customHeight="1">
      <c r="A1" s="111" t="s">
        <v>29</v>
      </c>
      <c r="B1" s="111"/>
      <c r="C1" s="111"/>
      <c r="D1" s="111"/>
      <c r="E1" s="111"/>
      <c r="F1" s="111"/>
      <c r="G1" s="111"/>
      <c r="H1" s="111"/>
      <c r="I1" s="111"/>
    </row>
    <row r="2" spans="1:9" ht="28" customHeight="1">
      <c r="A2" s="112" t="s">
        <v>343</v>
      </c>
      <c r="B2" s="112"/>
      <c r="C2" s="112"/>
      <c r="D2" s="112"/>
      <c r="E2" s="112"/>
      <c r="F2" s="112"/>
      <c r="G2" s="112"/>
      <c r="H2" s="112"/>
      <c r="I2" s="112"/>
    </row>
    <row r="4" spans="1:9" ht="30" customHeight="1">
      <c r="A4" s="2" t="s">
        <v>344</v>
      </c>
      <c r="B4" s="2" t="s">
        <v>345</v>
      </c>
      <c r="C4" s="2" t="s">
        <v>224</v>
      </c>
      <c r="D4" s="2" t="s">
        <v>346</v>
      </c>
      <c r="E4" s="2" t="s">
        <v>347</v>
      </c>
      <c r="F4" s="2" t="s">
        <v>348</v>
      </c>
      <c r="G4" s="2" t="s">
        <v>349</v>
      </c>
      <c r="H4" s="2" t="s">
        <v>71</v>
      </c>
      <c r="I4" s="2" t="s">
        <v>350</v>
      </c>
    </row>
    <row r="5" spans="1:9">
      <c r="A5" s="9" t="s">
        <v>228</v>
      </c>
      <c r="B5" s="9" t="s">
        <v>229</v>
      </c>
      <c r="C5" s="9" t="s">
        <v>233</v>
      </c>
      <c r="D5" s="81" t="s">
        <v>233</v>
      </c>
      <c r="E5" s="81"/>
      <c r="F5" s="11">
        <f>SUMIF('05 Support &amp; Income'!$A$5:$A$30,A5,'05 Support &amp; Income'!$F$5:$F$30)</f>
        <v>0</v>
      </c>
      <c r="G5" s="12">
        <f>IF(D5="Two-stage finance",1,IF(D5="Headcount",SUM('08 Allocation Data'!$D$5:$D$34),IF(D5="FTE",SUM('08 Allocation Data'!$E$5:$E$34),IF(D5="Floor space",SUM('08 Allocation Data'!$F$5:$F$34),IF(D5="Weighted floor space",SUM('08 Allocation Data'!$I$5:$I$34),IF(D5="Cleaning hours",SUM('08 Allocation Data'!$J$5:$J$34),IF(D5="Meals",SUM('08 Allocation Data'!$K$5:$K$34),IF(D5="Direct costs",SUM('08 Allocation Data'!$M$5:$M$34),0))))))))</f>
        <v>0</v>
      </c>
      <c r="H5" s="9" t="str">
        <f t="shared" ref="H5:H17" si="0">IF(F5=0,"NOT REQUIRED",IF(D5="","ERROR - SELECT DRIVER",IF(AND(D5&lt;&gt;C5,E5=""),"ERROR - EXPLANATION REQUIRED",IF(G5&lt;=0,"ERROR - NO DRIVER DATA","OK"))))</f>
        <v>NOT REQUIRED</v>
      </c>
      <c r="I5" s="9" t="s">
        <v>351</v>
      </c>
    </row>
    <row r="6" spans="1:9">
      <c r="A6" s="9" t="s">
        <v>238</v>
      </c>
      <c r="B6" s="9" t="s">
        <v>239</v>
      </c>
      <c r="C6" s="9" t="s">
        <v>233</v>
      </c>
      <c r="D6" s="81" t="s">
        <v>233</v>
      </c>
      <c r="E6" s="81"/>
      <c r="F6" s="11">
        <f>SUMIF('05 Support &amp; Income'!$A$5:$A$30,A6,'05 Support &amp; Income'!$F$5:$F$30)</f>
        <v>0</v>
      </c>
      <c r="G6" s="12">
        <f>IF(D6="Two-stage finance",1,IF(D6="Headcount",SUM('08 Allocation Data'!$D$5:$D$34),IF(D6="FTE",SUM('08 Allocation Data'!$E$5:$E$34),IF(D6="Floor space",SUM('08 Allocation Data'!$F$5:$F$34),IF(D6="Weighted floor space",SUM('08 Allocation Data'!$I$5:$I$34),IF(D6="Cleaning hours",SUM('08 Allocation Data'!$J$5:$J$34),IF(D6="Meals",SUM('08 Allocation Data'!$K$5:$K$34),IF(D6="Direct costs",SUM('08 Allocation Data'!$M$5:$M$34),0))))))))</f>
        <v>0</v>
      </c>
      <c r="H6" s="9" t="str">
        <f t="shared" si="0"/>
        <v>NOT REQUIRED</v>
      </c>
      <c r="I6" s="9" t="s">
        <v>351</v>
      </c>
    </row>
    <row r="7" spans="1:9">
      <c r="A7" s="9" t="s">
        <v>243</v>
      </c>
      <c r="B7" s="9" t="s">
        <v>244</v>
      </c>
      <c r="C7" s="9" t="s">
        <v>246</v>
      </c>
      <c r="D7" s="81" t="s">
        <v>246</v>
      </c>
      <c r="E7" s="81"/>
      <c r="F7" s="11">
        <f>SUMIF('05 Support &amp; Income'!$A$5:$A$30,A7,'05 Support &amp; Income'!$F$5:$F$30)</f>
        <v>0</v>
      </c>
      <c r="G7" s="12">
        <f>IF(D7="Two-stage finance",1,IF(D7="Headcount",SUM('08 Allocation Data'!$D$5:$D$34),IF(D7="FTE",SUM('08 Allocation Data'!$E$5:$E$34),IF(D7="Floor space",SUM('08 Allocation Data'!$F$5:$F$34),IF(D7="Weighted floor space",SUM('08 Allocation Data'!$I$5:$I$34),IF(D7="Cleaning hours",SUM('08 Allocation Data'!$J$5:$J$34),IF(D7="Meals",SUM('08 Allocation Data'!$K$5:$K$34),IF(D7="Direct costs",SUM('08 Allocation Data'!$M$5:$M$34),0))))))))</f>
        <v>1</v>
      </c>
      <c r="H7" s="9" t="str">
        <f t="shared" si="0"/>
        <v>NOT REQUIRED</v>
      </c>
      <c r="I7" s="9" t="s">
        <v>352</v>
      </c>
    </row>
    <row r="8" spans="1:9">
      <c r="A8" s="9" t="s">
        <v>248</v>
      </c>
      <c r="B8" s="9" t="s">
        <v>249</v>
      </c>
      <c r="C8" s="9" t="s">
        <v>251</v>
      </c>
      <c r="D8" s="81" t="s">
        <v>251</v>
      </c>
      <c r="E8" s="81"/>
      <c r="F8" s="11">
        <f>SUMIF('05 Support &amp; Income'!$A$5:$A$30,A8,'05 Support &amp; Income'!$F$5:$F$30)</f>
        <v>0</v>
      </c>
      <c r="G8" s="12">
        <f>IF(D8="Two-stage finance",1,IF(D8="Headcount",SUM('08 Allocation Data'!$D$5:$D$34),IF(D8="FTE",SUM('08 Allocation Data'!$E$5:$E$34),IF(D8="Floor space",SUM('08 Allocation Data'!$F$5:$F$34),IF(D8="Weighted floor space",SUM('08 Allocation Data'!$I$5:$I$34),IF(D8="Cleaning hours",SUM('08 Allocation Data'!$J$5:$J$34),IF(D8="Meals",SUM('08 Allocation Data'!$K$5:$K$34),IF(D8="Direct costs",SUM('08 Allocation Data'!$M$5:$M$34),0))))))))</f>
        <v>0</v>
      </c>
      <c r="H8" s="9" t="str">
        <f t="shared" si="0"/>
        <v>NOT REQUIRED</v>
      </c>
      <c r="I8" s="9" t="s">
        <v>353</v>
      </c>
    </row>
    <row r="9" spans="1:9">
      <c r="A9" s="9" t="s">
        <v>253</v>
      </c>
      <c r="B9" s="9" t="s">
        <v>254</v>
      </c>
      <c r="C9" s="9" t="s">
        <v>251</v>
      </c>
      <c r="D9" s="81" t="s">
        <v>251</v>
      </c>
      <c r="E9" s="81"/>
      <c r="F9" s="11">
        <f>SUMIF('05 Support &amp; Income'!$A$5:$A$30,A9,'05 Support &amp; Income'!$F$5:$F$30)</f>
        <v>0</v>
      </c>
      <c r="G9" s="12">
        <f>IF(D9="Two-stage finance",1,IF(D9="Headcount",SUM('08 Allocation Data'!$D$5:$D$34),IF(D9="FTE",SUM('08 Allocation Data'!$E$5:$E$34),IF(D9="Floor space",SUM('08 Allocation Data'!$F$5:$F$34),IF(D9="Weighted floor space",SUM('08 Allocation Data'!$I$5:$I$34),IF(D9="Cleaning hours",SUM('08 Allocation Data'!$J$5:$J$34),IF(D9="Meals",SUM('08 Allocation Data'!$K$5:$K$34),IF(D9="Direct costs",SUM('08 Allocation Data'!$M$5:$M$34),0))))))))</f>
        <v>0</v>
      </c>
      <c r="H9" s="9" t="str">
        <f t="shared" si="0"/>
        <v>NOT REQUIRED</v>
      </c>
      <c r="I9" s="9" t="s">
        <v>353</v>
      </c>
    </row>
    <row r="10" spans="1:9">
      <c r="A10" s="9" t="s">
        <v>257</v>
      </c>
      <c r="B10" s="9" t="s">
        <v>258</v>
      </c>
      <c r="C10" s="9" t="s">
        <v>251</v>
      </c>
      <c r="D10" s="81" t="s">
        <v>251</v>
      </c>
      <c r="E10" s="81"/>
      <c r="F10" s="11">
        <f>SUMIF('05 Support &amp; Income'!$A$5:$A$30,A10,'05 Support &amp; Income'!$F$5:$F$30)</f>
        <v>0</v>
      </c>
      <c r="G10" s="12">
        <f>IF(D10="Two-stage finance",1,IF(D10="Headcount",SUM('08 Allocation Data'!$D$5:$D$34),IF(D10="FTE",SUM('08 Allocation Data'!$E$5:$E$34),IF(D10="Floor space",SUM('08 Allocation Data'!$F$5:$F$34),IF(D10="Weighted floor space",SUM('08 Allocation Data'!$I$5:$I$34),IF(D10="Cleaning hours",SUM('08 Allocation Data'!$J$5:$J$34),IF(D10="Meals",SUM('08 Allocation Data'!$K$5:$K$34),IF(D10="Direct costs",SUM('08 Allocation Data'!$M$5:$M$34),0))))))))</f>
        <v>0</v>
      </c>
      <c r="H10" s="9" t="str">
        <f t="shared" si="0"/>
        <v>NOT REQUIRED</v>
      </c>
      <c r="I10" s="9" t="s">
        <v>353</v>
      </c>
    </row>
    <row r="11" spans="1:9">
      <c r="A11" s="9" t="s">
        <v>261</v>
      </c>
      <c r="B11" s="9" t="s">
        <v>262</v>
      </c>
      <c r="C11" s="9" t="s">
        <v>251</v>
      </c>
      <c r="D11" s="81" t="s">
        <v>251</v>
      </c>
      <c r="E11" s="81"/>
      <c r="F11" s="11">
        <f>SUMIF('05 Support &amp; Income'!$A$5:$A$30,A11,'05 Support &amp; Income'!$F$5:$F$30)</f>
        <v>0</v>
      </c>
      <c r="G11" s="12">
        <f>IF(D11="Two-stage finance",1,IF(D11="Headcount",SUM('08 Allocation Data'!$D$5:$D$34),IF(D11="FTE",SUM('08 Allocation Data'!$E$5:$E$34),IF(D11="Floor space",SUM('08 Allocation Data'!$F$5:$F$34),IF(D11="Weighted floor space",SUM('08 Allocation Data'!$I$5:$I$34),IF(D11="Cleaning hours",SUM('08 Allocation Data'!$J$5:$J$34),IF(D11="Meals",SUM('08 Allocation Data'!$K$5:$K$34),IF(D11="Direct costs",SUM('08 Allocation Data'!$M$5:$M$34),0))))))))</f>
        <v>0</v>
      </c>
      <c r="H11" s="9" t="str">
        <f t="shared" si="0"/>
        <v>NOT REQUIRED</v>
      </c>
      <c r="I11" s="9" t="s">
        <v>353</v>
      </c>
    </row>
    <row r="12" spans="1:9">
      <c r="A12" s="9" t="s">
        <v>265</v>
      </c>
      <c r="B12" s="9" t="s">
        <v>266</v>
      </c>
      <c r="C12" s="9" t="s">
        <v>268</v>
      </c>
      <c r="D12" s="81" t="s">
        <v>268</v>
      </c>
      <c r="E12" s="81"/>
      <c r="F12" s="11">
        <f>SUMIF('05 Support &amp; Income'!$A$5:$A$30,A12,'05 Support &amp; Income'!$F$5:$F$30)</f>
        <v>0</v>
      </c>
      <c r="G12" s="12">
        <f>IF(D12="Two-stage finance",1,IF(D12="Headcount",SUM('08 Allocation Data'!$D$5:$D$34),IF(D12="FTE",SUM('08 Allocation Data'!$E$5:$E$34),IF(D12="Floor space",SUM('08 Allocation Data'!$F$5:$F$34),IF(D12="Weighted floor space",SUM('08 Allocation Data'!$I$5:$I$34),IF(D12="Cleaning hours",SUM('08 Allocation Data'!$J$5:$J$34),IF(D12="Meals",SUM('08 Allocation Data'!$K$5:$K$34),IF(D12="Direct costs",SUM('08 Allocation Data'!$M$5:$M$34),0))))))))</f>
        <v>0</v>
      </c>
      <c r="H12" s="9" t="str">
        <f t="shared" si="0"/>
        <v>NOT REQUIRED</v>
      </c>
      <c r="I12" s="9" t="s">
        <v>354</v>
      </c>
    </row>
    <row r="13" spans="1:9">
      <c r="A13" s="9" t="s">
        <v>270</v>
      </c>
      <c r="B13" s="9" t="s">
        <v>271</v>
      </c>
      <c r="C13" s="9" t="s">
        <v>273</v>
      </c>
      <c r="D13" s="81" t="s">
        <v>273</v>
      </c>
      <c r="E13" s="81"/>
      <c r="F13" s="11">
        <f>SUMIF('05 Support &amp; Income'!$A$5:$A$30,A13,'05 Support &amp; Income'!$F$5:$F$30)</f>
        <v>0</v>
      </c>
      <c r="G13" s="12">
        <f>IF(D13="Two-stage finance",1,IF(D13="Headcount",SUM('08 Allocation Data'!$D$5:$D$34),IF(D13="FTE",SUM('08 Allocation Data'!$E$5:$E$34),IF(D13="Floor space",SUM('08 Allocation Data'!$F$5:$F$34),IF(D13="Weighted floor space",SUM('08 Allocation Data'!$I$5:$I$34),IF(D13="Cleaning hours",SUM('08 Allocation Data'!$J$5:$J$34),IF(D13="Meals",SUM('08 Allocation Data'!$K$5:$K$34),IF(D13="Direct costs",SUM('08 Allocation Data'!$M$5:$M$34),0))))))))</f>
        <v>0</v>
      </c>
      <c r="H13" s="9" t="str">
        <f t="shared" si="0"/>
        <v>NOT REQUIRED</v>
      </c>
      <c r="I13" s="9" t="s">
        <v>355</v>
      </c>
    </row>
    <row r="14" spans="1:9">
      <c r="A14" s="9" t="s">
        <v>275</v>
      </c>
      <c r="B14" s="9" t="s">
        <v>276</v>
      </c>
      <c r="C14" s="9" t="s">
        <v>278</v>
      </c>
      <c r="D14" s="81" t="s">
        <v>278</v>
      </c>
      <c r="E14" s="81"/>
      <c r="F14" s="11">
        <f>SUMIF('05 Support &amp; Income'!$A$5:$A$30,A14,'05 Support &amp; Income'!$F$5:$F$30)</f>
        <v>0</v>
      </c>
      <c r="G14" s="12">
        <f>IF(D14="Two-stage finance",1,IF(D14="Headcount",SUM('08 Allocation Data'!$D$5:$D$34),IF(D14="FTE",SUM('08 Allocation Data'!$E$5:$E$34),IF(D14="Floor space",SUM('08 Allocation Data'!$F$5:$F$34),IF(D14="Weighted floor space",SUM('08 Allocation Data'!$I$5:$I$34),IF(D14="Cleaning hours",SUM('08 Allocation Data'!$J$5:$J$34),IF(D14="Meals",SUM('08 Allocation Data'!$K$5:$K$34),IF(D14="Direct costs",SUM('08 Allocation Data'!$M$5:$M$34),0))))))))</f>
        <v>0</v>
      </c>
      <c r="H14" s="9" t="str">
        <f t="shared" si="0"/>
        <v>NOT REQUIRED</v>
      </c>
      <c r="I14" s="9" t="s">
        <v>356</v>
      </c>
    </row>
    <row r="15" spans="1:9">
      <c r="A15" s="9" t="s">
        <v>280</v>
      </c>
      <c r="B15" s="9" t="s">
        <v>281</v>
      </c>
      <c r="C15" s="9" t="s">
        <v>273</v>
      </c>
      <c r="D15" s="81" t="s">
        <v>273</v>
      </c>
      <c r="E15" s="81"/>
      <c r="F15" s="11">
        <f>SUMIF('05 Support &amp; Income'!$A$5:$A$30,A15,'05 Support &amp; Income'!$F$5:$F$30)</f>
        <v>0</v>
      </c>
      <c r="G15" s="12">
        <f>IF(D15="Two-stage finance",1,IF(D15="Headcount",SUM('08 Allocation Data'!$D$5:$D$34),IF(D15="FTE",SUM('08 Allocation Data'!$E$5:$E$34),IF(D15="Floor space",SUM('08 Allocation Data'!$F$5:$F$34),IF(D15="Weighted floor space",SUM('08 Allocation Data'!$I$5:$I$34),IF(D15="Cleaning hours",SUM('08 Allocation Data'!$J$5:$J$34),IF(D15="Meals",SUM('08 Allocation Data'!$K$5:$K$34),IF(D15="Direct costs",SUM('08 Allocation Data'!$M$5:$M$34),0))))))))</f>
        <v>0</v>
      </c>
      <c r="H15" s="9" t="str">
        <f t="shared" si="0"/>
        <v>NOT REQUIRED</v>
      </c>
      <c r="I15" s="9" t="s">
        <v>357</v>
      </c>
    </row>
    <row r="16" spans="1:9">
      <c r="A16" s="9" t="s">
        <v>284</v>
      </c>
      <c r="B16" s="9" t="s">
        <v>285</v>
      </c>
      <c r="C16" s="9" t="s">
        <v>287</v>
      </c>
      <c r="D16" s="81" t="s">
        <v>287</v>
      </c>
      <c r="E16" s="81"/>
      <c r="F16" s="11">
        <f>SUMIF('05 Support &amp; Income'!$A$5:$A$30,A16,'05 Support &amp; Income'!$F$5:$F$30)</f>
        <v>0</v>
      </c>
      <c r="G16" s="12">
        <f>IF(D16="Two-stage finance",1,IF(D16="Headcount",SUM('08 Allocation Data'!$D$5:$D$34),IF(D16="FTE",SUM('08 Allocation Data'!$E$5:$E$34),IF(D16="Floor space",SUM('08 Allocation Data'!$F$5:$F$34),IF(D16="Weighted floor space",SUM('08 Allocation Data'!$I$5:$I$34),IF(D16="Cleaning hours",SUM('08 Allocation Data'!$J$5:$J$34),IF(D16="Meals",SUM('08 Allocation Data'!$K$5:$K$34),IF(D16="Direct costs",SUM('08 Allocation Data'!$M$5:$M$34),0))))))))</f>
        <v>0</v>
      </c>
      <c r="H16" s="9" t="str">
        <f t="shared" si="0"/>
        <v>NOT REQUIRED</v>
      </c>
      <c r="I16" s="9" t="s">
        <v>358</v>
      </c>
    </row>
    <row r="17" spans="1:9">
      <c r="A17" s="9" t="s">
        <v>290</v>
      </c>
      <c r="B17" s="9" t="s">
        <v>291</v>
      </c>
      <c r="C17" s="9" t="s">
        <v>233</v>
      </c>
      <c r="D17" s="81" t="s">
        <v>233</v>
      </c>
      <c r="E17" s="81"/>
      <c r="F17" s="11">
        <f>SUMIF('05 Support &amp; Income'!$A$5:$A$30,A17,'05 Support &amp; Income'!$F$5:$F$30)</f>
        <v>0</v>
      </c>
      <c r="G17" s="12">
        <f>IF(D17="Two-stage finance",1,IF(D17="Headcount",SUM('08 Allocation Data'!$D$5:$D$34),IF(D17="FTE",SUM('08 Allocation Data'!$E$5:$E$34),IF(D17="Floor space",SUM('08 Allocation Data'!$F$5:$F$34),IF(D17="Weighted floor space",SUM('08 Allocation Data'!$I$5:$I$34),IF(D17="Cleaning hours",SUM('08 Allocation Data'!$J$5:$J$34),IF(D17="Meals",SUM('08 Allocation Data'!$K$5:$K$34),IF(D17="Direct costs",SUM('08 Allocation Data'!$M$5:$M$34),0))))))))</f>
        <v>0</v>
      </c>
      <c r="H17" s="9" t="str">
        <f t="shared" si="0"/>
        <v>NOT REQUIRED</v>
      </c>
      <c r="I17" s="9" t="s">
        <v>351</v>
      </c>
    </row>
    <row r="20" spans="1:9" ht="44" customHeight="1">
      <c r="A20" s="113" t="s">
        <v>359</v>
      </c>
      <c r="B20" s="113"/>
      <c r="C20" s="113"/>
      <c r="D20" s="113"/>
      <c r="E20" s="113"/>
      <c r="F20" s="113"/>
      <c r="G20" s="113"/>
      <c r="H20" s="113"/>
    </row>
    <row r="22" spans="1:9" ht="52" customHeight="1">
      <c r="A22" s="113" t="s">
        <v>360</v>
      </c>
      <c r="B22" s="113"/>
      <c r="C22" s="113"/>
      <c r="D22" s="113"/>
      <c r="E22" s="113"/>
      <c r="F22" s="113"/>
      <c r="G22" s="113"/>
      <c r="H22" s="113"/>
    </row>
  </sheetData>
  <sheetProtection sheet="1" objects="1" scenarios="1" formatColumns="0" formatRows="0"/>
  <mergeCells count="4">
    <mergeCell ref="A1:I1"/>
    <mergeCell ref="A2:I2"/>
    <mergeCell ref="A20:H20"/>
    <mergeCell ref="A22:H22"/>
  </mergeCells>
  <dataValidations count="8">
    <dataValidation type="list" showErrorMessage="1" errorTitle="Select a permitted driver" error="Choose an option from the list for this support function." sqref="D17 D5:D6" xr:uid="{00000000-0002-0000-0600-000000000000}">
      <formula1>"FTE,Headcount,Direct costs"</formula1>
    </dataValidation>
    <dataValidation type="list" showErrorMessage="1" errorTitle="Select a permitted driver" error="Choose an option from the list for this support function." sqref="D7" xr:uid="{00000000-0002-0000-0600-000002000000}">
      <formula1>"Two-stage finance,Direct costs"</formula1>
    </dataValidation>
    <dataValidation type="list" showErrorMessage="1" errorTitle="Select a permitted driver" error="Choose an option from the list for this support function." sqref="D8:D11" xr:uid="{00000000-0002-0000-0600-000003000000}">
      <formula1>"Headcount,FTE,Direct costs"</formula1>
    </dataValidation>
    <dataValidation type="list" showErrorMessage="1" errorTitle="Select a permitted driver" error="Choose an option from the list for this support function." sqref="D12" xr:uid="{00000000-0002-0000-0600-000007000000}">
      <formula1>"Floor space,Weighted floor space,Direct costs"</formula1>
    </dataValidation>
    <dataValidation type="list" showErrorMessage="1" errorTitle="Select a permitted driver" error="Choose an option from the list for this support function." sqref="D13" xr:uid="{00000000-0002-0000-0600-000008000000}">
      <formula1>"Weighted floor space,Floor space,Direct costs"</formula1>
    </dataValidation>
    <dataValidation type="list" showErrorMessage="1" errorTitle="Select a permitted driver" error="Choose an option from the list for this support function." sqref="D14" xr:uid="{00000000-0002-0000-0600-000009000000}">
      <formula1>"Cleaning hours,Weighted floor space,FTE"</formula1>
    </dataValidation>
    <dataValidation type="list" showErrorMessage="1" errorTitle="Select a permitted driver" error="Choose an option from the list for this support function." sqref="D15" xr:uid="{00000000-0002-0000-0600-00000A000000}">
      <formula1>"Weighted floor space,Floor space,Headcount"</formula1>
    </dataValidation>
    <dataValidation type="list" showErrorMessage="1" errorTitle="Select a permitted driver" error="Choose an option from the list for this support function." sqref="D16" xr:uid="{00000000-0002-0000-0600-00000B000000}">
      <formula1>"Meals,Headcount,Direct costs"</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9"/>
  <sheetViews>
    <sheetView showGridLines="0" workbookViewId="0"/>
  </sheetViews>
  <sheetFormatPr baseColWidth="10" defaultColWidth="8.83203125" defaultRowHeight="14"/>
  <cols>
    <col min="1" max="1" width="17" customWidth="1"/>
    <col min="2" max="2" width="38" customWidth="1"/>
    <col min="3" max="3" width="12" customWidth="1"/>
    <col min="4" max="5" width="13" customWidth="1"/>
    <col min="6" max="6" width="22" customWidth="1"/>
    <col min="7" max="7" width="20" customWidth="1"/>
    <col min="8" max="8" width="13" customWidth="1"/>
    <col min="9" max="9" width="19" customWidth="1"/>
    <col min="10" max="10" width="17" customWidth="1"/>
    <col min="11" max="11" width="13" customWidth="1"/>
    <col min="12" max="14" width="18" customWidth="1"/>
    <col min="15" max="16" width="24" customWidth="1"/>
    <col min="17" max="17" width="0" hidden="1"/>
  </cols>
  <sheetData>
    <row r="1" spans="1:17" ht="34" customHeight="1">
      <c r="A1" s="111" t="s">
        <v>31</v>
      </c>
      <c r="B1" s="111"/>
      <c r="C1" s="111"/>
      <c r="D1" s="111"/>
      <c r="E1" s="111"/>
      <c r="F1" s="111"/>
      <c r="G1" s="111"/>
      <c r="H1" s="111"/>
      <c r="I1" s="111"/>
      <c r="J1" s="111"/>
      <c r="K1" s="111"/>
      <c r="L1" s="111"/>
      <c r="M1" s="111"/>
      <c r="N1" s="111"/>
      <c r="O1" s="111"/>
      <c r="P1" s="111"/>
    </row>
    <row r="2" spans="1:17" ht="28" customHeight="1">
      <c r="A2" s="112" t="s">
        <v>361</v>
      </c>
      <c r="B2" s="112"/>
      <c r="C2" s="112"/>
      <c r="D2" s="112"/>
      <c r="E2" s="112"/>
      <c r="F2" s="112"/>
      <c r="G2" s="112"/>
      <c r="H2" s="112"/>
      <c r="I2" s="112"/>
      <c r="J2" s="112"/>
      <c r="K2" s="112"/>
      <c r="L2" s="112"/>
      <c r="M2" s="112"/>
      <c r="N2" s="112"/>
      <c r="O2" s="112"/>
      <c r="P2" s="112"/>
    </row>
    <row r="4" spans="1:17" ht="30" customHeight="1">
      <c r="A4" s="2" t="s">
        <v>362</v>
      </c>
      <c r="B4" s="2" t="s">
        <v>363</v>
      </c>
      <c r="C4" s="2" t="s">
        <v>88</v>
      </c>
      <c r="D4" s="2" t="s">
        <v>251</v>
      </c>
      <c r="E4" s="2" t="s">
        <v>233</v>
      </c>
      <c r="F4" s="2" t="s">
        <v>364</v>
      </c>
      <c r="G4" s="2" t="s">
        <v>91</v>
      </c>
      <c r="H4" s="2" t="s">
        <v>365</v>
      </c>
      <c r="I4" s="2" t="s">
        <v>273</v>
      </c>
      <c r="J4" s="2" t="s">
        <v>278</v>
      </c>
      <c r="K4" s="2" t="s">
        <v>287</v>
      </c>
      <c r="L4" s="2" t="s">
        <v>366</v>
      </c>
      <c r="M4" s="2" t="s">
        <v>367</v>
      </c>
      <c r="N4" s="2" t="s">
        <v>368</v>
      </c>
      <c r="O4" s="2" t="s">
        <v>72</v>
      </c>
      <c r="P4" s="2" t="s">
        <v>369</v>
      </c>
    </row>
    <row r="5" spans="1:17">
      <c r="A5" s="3" t="s">
        <v>213</v>
      </c>
      <c r="B5" s="9" t="str">
        <f>"Adult inpatient — "&amp;'02 Hospice Setup'!$B$20</f>
        <v xml:space="preserve">Adult inpatient — </v>
      </c>
      <c r="C5" s="9" t="str">
        <f>IF(AND('02 Hospice Setup'!$C$20="Yes",COUNTIFS('02 Hospice Setup'!$A$26:$A$50,"ADU_IP",'02 Hospice Setup'!$E$26:$E$50,"Yes")&gt;0),"Yes","No")</f>
        <v>No</v>
      </c>
      <c r="D5" s="92">
        <v>0</v>
      </c>
      <c r="E5" s="93">
        <v>0</v>
      </c>
      <c r="F5" s="70">
        <f>'02 Hospice Setup'!$E$20</f>
        <v>0</v>
      </c>
      <c r="G5" s="68" t="str">
        <f>'02 Hospice Setup'!$F$20</f>
        <v>24/7</v>
      </c>
      <c r="H5" s="12">
        <f t="shared" ref="H5:H34" si="0">IF(G5="24/7",3,IF(G5="Extended hours",1.5,1))</f>
        <v>3</v>
      </c>
      <c r="I5" s="12">
        <f t="shared" ref="I5:I34" si="1">F5*H5</f>
        <v>0</v>
      </c>
      <c r="J5" s="94">
        <v>0</v>
      </c>
      <c r="K5" s="92">
        <v>0</v>
      </c>
      <c r="L5" s="95">
        <v>0</v>
      </c>
      <c r="M5" s="11">
        <f>SUMIF('04 Service Costs'!$A$5:$A$31,A5,'04 Service Costs'!$L$5:$L$31)+SUMIF('05 Support &amp; Income'!$A$5:$A$41,A5,'05 Support &amp; Income'!$F$5:$F$41)</f>
        <v>0</v>
      </c>
      <c r="N5" s="9" t="str">
        <f>IF('02 Hospice Setup'!$B$20="","",'02 Hospice Setup'!$B$20)</f>
        <v/>
      </c>
      <c r="O5" s="88"/>
      <c r="P5" s="9" t="str">
        <f>IF(AND(C5="No",OR(SUM(D5:F5,J5:L5)&lt;&gt;0,SUMIF('09 Core Activity &amp; Capacity'!$A$6:$A$98,A5,'09 Core Activity &amp; Capacity'!$F$6:$F$98)&lt;&gt;0,SUMIF('11 Optional Community'!$A$19:$A$30,A5,'11 Optional Community'!$F$19:$F$30)&lt;&gt;0)),"ERROR - INACTIVE DATA","OK")</f>
        <v>OK</v>
      </c>
      <c r="Q5" t="str">
        <f t="shared" ref="Q5:Q34" si="2">A5&amp;" | "&amp;B5</f>
        <v xml:space="preserve">ADU_IP_S1 | Adult inpatient — </v>
      </c>
    </row>
    <row r="6" spans="1:17">
      <c r="A6" s="3" t="s">
        <v>214</v>
      </c>
      <c r="B6" s="9" t="str">
        <f>"Adult inpatient — "&amp;'02 Hospice Setup'!$B$21</f>
        <v xml:space="preserve">Adult inpatient — </v>
      </c>
      <c r="C6" s="9" t="str">
        <f>IF(AND('02 Hospice Setup'!$C$21="Yes",COUNTIFS('02 Hospice Setup'!$A$26:$A$50,"ADU_IP",'02 Hospice Setup'!$E$26:$E$50,"Yes")&gt;0),"Yes","No")</f>
        <v>No</v>
      </c>
      <c r="D6" s="92">
        <v>0</v>
      </c>
      <c r="E6" s="93">
        <v>0</v>
      </c>
      <c r="F6" s="70">
        <f>'02 Hospice Setup'!$E$21</f>
        <v>0</v>
      </c>
      <c r="G6" s="68" t="str">
        <f>'02 Hospice Setup'!$F$21</f>
        <v>24/7</v>
      </c>
      <c r="H6" s="12">
        <f t="shared" si="0"/>
        <v>3</v>
      </c>
      <c r="I6" s="12">
        <f t="shared" si="1"/>
        <v>0</v>
      </c>
      <c r="J6" s="94">
        <v>0</v>
      </c>
      <c r="K6" s="92">
        <v>0</v>
      </c>
      <c r="L6" s="95">
        <v>0</v>
      </c>
      <c r="M6" s="11">
        <f>SUMIF('04 Service Costs'!$A$5:$A$31,A6,'04 Service Costs'!$L$5:$L$31)+SUMIF('05 Support &amp; Income'!$A$5:$A$41,A6,'05 Support &amp; Income'!$F$5:$F$41)</f>
        <v>0</v>
      </c>
      <c r="N6" s="9" t="str">
        <f>IF('02 Hospice Setup'!$B$21="","",'02 Hospice Setup'!$B$21)</f>
        <v/>
      </c>
      <c r="O6" s="88"/>
      <c r="P6" s="9" t="str">
        <f>IF(AND(C6="No",OR(SUM(D6:F6,J6:L6)&lt;&gt;0,SUMIF('09 Core Activity &amp; Capacity'!$A$6:$A$98,A6,'09 Core Activity &amp; Capacity'!$F$6:$F$98)&lt;&gt;0,SUMIF('11 Optional Community'!$A$19:$A$30,A6,'11 Optional Community'!$F$19:$F$30)&lt;&gt;0)),"ERROR - INACTIVE DATA","OK")</f>
        <v>OK</v>
      </c>
      <c r="Q6" t="str">
        <f t="shared" si="2"/>
        <v xml:space="preserve">ADU_IP_S2 | Adult inpatient — </v>
      </c>
    </row>
    <row r="7" spans="1:17">
      <c r="A7" s="3" t="s">
        <v>215</v>
      </c>
      <c r="B7" s="9" t="str">
        <f>"Adult inpatient — "&amp;'02 Hospice Setup'!$B$22</f>
        <v xml:space="preserve">Adult inpatient — </v>
      </c>
      <c r="C7" s="9" t="str">
        <f>IF(AND('02 Hospice Setup'!$C$22="Yes",COUNTIFS('02 Hospice Setup'!$A$26:$A$50,"ADU_IP",'02 Hospice Setup'!$E$26:$E$50,"Yes")&gt;0),"Yes","No")</f>
        <v>No</v>
      </c>
      <c r="D7" s="92">
        <v>0</v>
      </c>
      <c r="E7" s="93">
        <v>0</v>
      </c>
      <c r="F7" s="70">
        <f>'02 Hospice Setup'!$E$22</f>
        <v>0</v>
      </c>
      <c r="G7" s="68" t="str">
        <f>'02 Hospice Setup'!$F$22</f>
        <v>24/7</v>
      </c>
      <c r="H7" s="12">
        <f t="shared" si="0"/>
        <v>3</v>
      </c>
      <c r="I7" s="12">
        <f t="shared" si="1"/>
        <v>0</v>
      </c>
      <c r="J7" s="94">
        <v>0</v>
      </c>
      <c r="K7" s="92">
        <v>0</v>
      </c>
      <c r="L7" s="95">
        <v>0</v>
      </c>
      <c r="M7" s="11">
        <f>SUMIF('04 Service Costs'!$A$5:$A$31,A7,'04 Service Costs'!$L$5:$L$31)+SUMIF('05 Support &amp; Income'!$A$5:$A$41,A7,'05 Support &amp; Income'!$F$5:$F$41)</f>
        <v>0</v>
      </c>
      <c r="N7" s="9" t="str">
        <f>IF('02 Hospice Setup'!$B$22="","",'02 Hospice Setup'!$B$22)</f>
        <v/>
      </c>
      <c r="O7" s="88"/>
      <c r="P7" s="9" t="str">
        <f>IF(AND(C7="No",OR(SUM(D7:F7,J7:L7)&lt;&gt;0,SUMIF('09 Core Activity &amp; Capacity'!$A$6:$A$98,A7,'09 Core Activity &amp; Capacity'!$F$6:$F$98)&lt;&gt;0,SUMIF('11 Optional Community'!$A$19:$A$30,A7,'11 Optional Community'!$F$19:$F$30)&lt;&gt;0)),"ERROR - INACTIVE DATA","OK")</f>
        <v>OK</v>
      </c>
      <c r="Q7" t="str">
        <f t="shared" si="2"/>
        <v xml:space="preserve">ADU_IP_S3 | Adult inpatient — </v>
      </c>
    </row>
    <row r="8" spans="1:17">
      <c r="A8" s="3" t="s">
        <v>117</v>
      </c>
      <c r="B8" s="3" t="s">
        <v>119</v>
      </c>
      <c r="C8" s="9" t="str">
        <f>IF(COUNTIFS('02 Hospice Setup'!$A$26:$A$50,A8,'02 Hospice Setup'!$E$26:$E$50,"Yes")&gt;0,"Yes","No")</f>
        <v>No</v>
      </c>
      <c r="D8" s="92">
        <v>0</v>
      </c>
      <c r="E8" s="93">
        <v>0</v>
      </c>
      <c r="F8" s="92">
        <v>0</v>
      </c>
      <c r="G8" s="81" t="s">
        <v>370</v>
      </c>
      <c r="H8" s="12">
        <f t="shared" si="0"/>
        <v>1</v>
      </c>
      <c r="I8" s="12">
        <f t="shared" si="1"/>
        <v>0</v>
      </c>
      <c r="J8" s="94">
        <v>0</v>
      </c>
      <c r="K8" s="92">
        <v>0</v>
      </c>
      <c r="L8" s="95">
        <v>0</v>
      </c>
      <c r="M8" s="11">
        <f>SUMIF('04 Service Costs'!$A$5:$A$31,A8,'04 Service Costs'!$L$5:$L$31)+SUMIF('05 Support &amp; Income'!$A$5:$A$41,A8,'05 Support &amp; Income'!$F$5:$F$41)</f>
        <v>0</v>
      </c>
      <c r="N8" s="88"/>
      <c r="O8" s="88"/>
      <c r="P8" s="9" t="str">
        <f>IF(AND(C8="No",OR(SUM(D8:F8,J8:L8)&lt;&gt;0,SUMIF('09 Core Activity &amp; Capacity'!$A$6:$A$98,A8,'09 Core Activity &amp; Capacity'!$F$6:$F$98)&lt;&gt;0,SUMIF('11 Optional Community'!$A$19:$A$30,A8,'11 Optional Community'!$F$19:$F$30)&lt;&gt;0)),"ERROR - INACTIVE DATA","OK")</f>
        <v>OK</v>
      </c>
      <c r="Q8" t="str">
        <f t="shared" si="2"/>
        <v>ADU_OP | Outpatient</v>
      </c>
    </row>
    <row r="9" spans="1:17">
      <c r="A9" s="3" t="s">
        <v>120</v>
      </c>
      <c r="B9" s="3" t="s">
        <v>121</v>
      </c>
      <c r="C9" s="9" t="str">
        <f>IF(COUNTIFS('02 Hospice Setup'!$A$26:$A$50,A9,'02 Hospice Setup'!$E$26:$E$50,"Yes")&gt;0,"Yes","No")</f>
        <v>No</v>
      </c>
      <c r="D9" s="92">
        <v>0</v>
      </c>
      <c r="E9" s="93">
        <v>0</v>
      </c>
      <c r="F9" s="92">
        <v>0</v>
      </c>
      <c r="G9" s="81" t="s">
        <v>370</v>
      </c>
      <c r="H9" s="12">
        <f t="shared" si="0"/>
        <v>1</v>
      </c>
      <c r="I9" s="12">
        <f t="shared" si="1"/>
        <v>0</v>
      </c>
      <c r="J9" s="94">
        <v>0</v>
      </c>
      <c r="K9" s="92">
        <v>0</v>
      </c>
      <c r="L9" s="95">
        <v>0</v>
      </c>
      <c r="M9" s="11">
        <f>SUMIF('04 Service Costs'!$A$5:$A$31,A9,'04 Service Costs'!$L$5:$L$31)+SUMIF('05 Support &amp; Income'!$A$5:$A$41,A9,'05 Support &amp; Income'!$F$5:$F$41)</f>
        <v>0</v>
      </c>
      <c r="N9" s="88"/>
      <c r="O9" s="88"/>
      <c r="P9" s="9" t="str">
        <f>IF(AND(C9="No",OR(SUM(D9:F9,J9:L9)&lt;&gt;0,SUMIF('09 Core Activity &amp; Capacity'!$A$6:$A$98,A9,'09 Core Activity &amp; Capacity'!$F$6:$F$98)&lt;&gt;0,SUMIF('11 Optional Community'!$A$19:$A$30,A9,'11 Optional Community'!$F$19:$F$30)&lt;&gt;0)),"ERROR - INACTIVE DATA","OK")</f>
        <v>OK</v>
      </c>
      <c r="Q9" t="str">
        <f t="shared" si="2"/>
        <v>ADU_HIR | Hospital in-reach</v>
      </c>
    </row>
    <row r="10" spans="1:17">
      <c r="A10" s="3" t="s">
        <v>125</v>
      </c>
      <c r="B10" s="3" t="s">
        <v>126</v>
      </c>
      <c r="C10" s="9" t="str">
        <f>IF(COUNTIFS('02 Hospice Setup'!$A$26:$A$50,A10,'02 Hospice Setup'!$E$26:$E$50,"Yes")&gt;0,"Yes","No")</f>
        <v>No</v>
      </c>
      <c r="D10" s="92">
        <v>0</v>
      </c>
      <c r="E10" s="93">
        <v>0</v>
      </c>
      <c r="F10" s="92">
        <v>0</v>
      </c>
      <c r="G10" s="81" t="s">
        <v>370</v>
      </c>
      <c r="H10" s="12">
        <f t="shared" si="0"/>
        <v>1</v>
      </c>
      <c r="I10" s="12">
        <f t="shared" si="1"/>
        <v>0</v>
      </c>
      <c r="J10" s="94">
        <v>0</v>
      </c>
      <c r="K10" s="92">
        <v>0</v>
      </c>
      <c r="L10" s="95">
        <v>0</v>
      </c>
      <c r="M10" s="11">
        <f>SUMIF('04 Service Costs'!$A$5:$A$31,A10,'04 Service Costs'!$L$5:$L$31)+SUMIF('05 Support &amp; Income'!$A$5:$A$41,A10,'05 Support &amp; Income'!$F$5:$F$41)</f>
        <v>0</v>
      </c>
      <c r="N10" s="88"/>
      <c r="O10" s="88"/>
      <c r="P10" s="9" t="str">
        <f>IF(AND(C10="No",OR(SUM(D10:F10,J10:L10)&lt;&gt;0,SUMIF('09 Core Activity &amp; Capacity'!$A$6:$A$98,A10,'09 Core Activity &amp; Capacity'!$F$6:$F$98)&lt;&gt;0,SUMIF('11 Optional Community'!$A$19:$A$30,A10,'11 Optional Community'!$F$19:$F$30)&lt;&gt;0)),"ERROR - INACTIVE DATA","OK")</f>
        <v>OK</v>
      </c>
      <c r="Q10" t="str">
        <f t="shared" si="2"/>
        <v>ADU_SPC | Specialist visiting</v>
      </c>
    </row>
    <row r="11" spans="1:17">
      <c r="A11" s="3" t="s">
        <v>127</v>
      </c>
      <c r="B11" s="3" t="s">
        <v>128</v>
      </c>
      <c r="C11" s="9" t="str">
        <f>IF(COUNTIFS('02 Hospice Setup'!$A$26:$A$50,A11,'02 Hospice Setup'!$E$26:$E$50,"Yes")&gt;0,"Yes","No")</f>
        <v>No</v>
      </c>
      <c r="D11" s="92">
        <v>0</v>
      </c>
      <c r="E11" s="93">
        <v>0</v>
      </c>
      <c r="F11" s="92">
        <v>0</v>
      </c>
      <c r="G11" s="81" t="s">
        <v>370</v>
      </c>
      <c r="H11" s="12">
        <f t="shared" si="0"/>
        <v>1</v>
      </c>
      <c r="I11" s="12">
        <f t="shared" si="1"/>
        <v>0</v>
      </c>
      <c r="J11" s="94">
        <v>0</v>
      </c>
      <c r="K11" s="92">
        <v>0</v>
      </c>
      <c r="L11" s="95">
        <v>0</v>
      </c>
      <c r="M11" s="11">
        <f>SUMIF('04 Service Costs'!$A$5:$A$31,A11,'04 Service Costs'!$L$5:$L$31)+SUMIF('05 Support &amp; Income'!$A$5:$A$41,A11,'05 Support &amp; Income'!$F$5:$F$41)</f>
        <v>0</v>
      </c>
      <c r="N11" s="88"/>
      <c r="O11" s="88"/>
      <c r="P11" s="9" t="str">
        <f>IF(AND(C11="No",OR(SUM(D11:F11,J11:L11)&lt;&gt;0,SUMIF('09 Core Activity &amp; Capacity'!$A$6:$A$98,A11,'09 Core Activity &amp; Capacity'!$F$6:$F$98)&lt;&gt;0,SUMIF('11 Optional Community'!$A$19:$A$30,A11,'11 Optional Community'!$F$19:$F$30)&lt;&gt;0)),"ERROR - INACTIVE DATA","OK")</f>
        <v>OK</v>
      </c>
      <c r="Q11" t="str">
        <f t="shared" si="2"/>
        <v>ADU_HAH | Rapid response</v>
      </c>
    </row>
    <row r="12" spans="1:17">
      <c r="A12" s="3" t="s">
        <v>129</v>
      </c>
      <c r="B12" s="3" t="s">
        <v>131</v>
      </c>
      <c r="C12" s="9" t="str">
        <f>IF(COUNTIFS('02 Hospice Setup'!$A$26:$A$50,A12,'02 Hospice Setup'!$E$26:$E$50,"Yes")&gt;0,"Yes","No")</f>
        <v>No</v>
      </c>
      <c r="D12" s="92">
        <v>0</v>
      </c>
      <c r="E12" s="93">
        <v>0</v>
      </c>
      <c r="F12" s="92">
        <v>0</v>
      </c>
      <c r="G12" s="81" t="s">
        <v>370</v>
      </c>
      <c r="H12" s="12">
        <f t="shared" si="0"/>
        <v>1</v>
      </c>
      <c r="I12" s="12">
        <f t="shared" si="1"/>
        <v>0</v>
      </c>
      <c r="J12" s="94">
        <v>0</v>
      </c>
      <c r="K12" s="92">
        <v>0</v>
      </c>
      <c r="L12" s="95">
        <v>0</v>
      </c>
      <c r="M12" s="11">
        <f>SUMIF('04 Service Costs'!$A$5:$A$31,A12,'04 Service Costs'!$L$5:$L$31)+SUMIF('05 Support &amp; Income'!$A$5:$A$41,A12,'05 Support &amp; Income'!$F$5:$F$41)</f>
        <v>0</v>
      </c>
      <c r="N12" s="88"/>
      <c r="O12" s="88"/>
      <c r="P12" s="9" t="str">
        <f>IF(AND(C12="No",OR(SUM(D12:F12,J12:L12)&lt;&gt;0,SUMIF('09 Core Activity &amp; Capacity'!$A$6:$A$98,A12,'09 Core Activity &amp; Capacity'!$F$6:$F$98)&lt;&gt;0,SUMIF('11 Optional Community'!$A$19:$A$30,A12,'11 Optional Community'!$F$19:$F$30)&lt;&gt;0)),"ERROR - INACTIVE DATA","OK")</f>
        <v>OK</v>
      </c>
      <c r="Q12" t="str">
        <f t="shared" si="2"/>
        <v>ADU_GEN_HCA | Generalist community visiting (HCAs)</v>
      </c>
    </row>
    <row r="13" spans="1:17">
      <c r="A13" s="3" t="s">
        <v>132</v>
      </c>
      <c r="B13" s="3" t="s">
        <v>133</v>
      </c>
      <c r="C13" s="9" t="str">
        <f>IF(COUNTIFS('02 Hospice Setup'!$A$26:$A$50,A13,'02 Hospice Setup'!$E$26:$E$50,"Yes")&gt;0,"Yes","No")</f>
        <v>No</v>
      </c>
      <c r="D13" s="92">
        <v>0</v>
      </c>
      <c r="E13" s="93">
        <v>0</v>
      </c>
      <c r="F13" s="92">
        <v>0</v>
      </c>
      <c r="G13" s="81" t="s">
        <v>370</v>
      </c>
      <c r="H13" s="12">
        <f t="shared" si="0"/>
        <v>1</v>
      </c>
      <c r="I13" s="12">
        <f t="shared" si="1"/>
        <v>0</v>
      </c>
      <c r="J13" s="94">
        <v>0</v>
      </c>
      <c r="K13" s="92">
        <v>0</v>
      </c>
      <c r="L13" s="95">
        <v>0</v>
      </c>
      <c r="M13" s="11">
        <f>SUMIF('04 Service Costs'!$A$5:$A$31,A13,'04 Service Costs'!$L$5:$L$31)+SUMIF('05 Support &amp; Income'!$A$5:$A$41,A13,'05 Support &amp; Income'!$F$5:$F$41)</f>
        <v>0</v>
      </c>
      <c r="N13" s="88"/>
      <c r="O13" s="88"/>
      <c r="P13" s="9" t="str">
        <f>IF(AND(C13="No",OR(SUM(D13:F13,J13:L13)&lt;&gt;0,SUMIF('09 Core Activity &amp; Capacity'!$A$6:$A$98,A13,'09 Core Activity &amp; Capacity'!$F$6:$F$98)&lt;&gt;0,SUMIF('11 Optional Community'!$A$19:$A$30,A13,'11 Optional Community'!$F$19:$F$30)&lt;&gt;0)),"ERROR - INACTIVE DATA","OK")</f>
        <v>OK</v>
      </c>
      <c r="Q13" t="str">
        <f t="shared" si="2"/>
        <v>ADU_GEN_NUR | Generalist community visiting (nurses)</v>
      </c>
    </row>
    <row r="14" spans="1:17">
      <c r="A14" s="3" t="s">
        <v>134</v>
      </c>
      <c r="B14" s="3" t="s">
        <v>135</v>
      </c>
      <c r="C14" s="9" t="str">
        <f>IF(COUNTIFS('02 Hospice Setup'!$A$26:$A$50,A14,'02 Hospice Setup'!$E$26:$E$50,"Yes")&gt;0,"Yes","No")</f>
        <v>No</v>
      </c>
      <c r="D14" s="92">
        <v>0</v>
      </c>
      <c r="E14" s="93">
        <v>0</v>
      </c>
      <c r="F14" s="92">
        <v>0</v>
      </c>
      <c r="G14" s="81" t="s">
        <v>370</v>
      </c>
      <c r="H14" s="12">
        <f t="shared" si="0"/>
        <v>1</v>
      </c>
      <c r="I14" s="12">
        <f t="shared" si="1"/>
        <v>0</v>
      </c>
      <c r="J14" s="94">
        <v>0</v>
      </c>
      <c r="K14" s="92">
        <v>0</v>
      </c>
      <c r="L14" s="95">
        <v>0</v>
      </c>
      <c r="M14" s="11">
        <f>SUMIF('04 Service Costs'!$A$5:$A$31,A14,'04 Service Costs'!$L$5:$L$31)+SUMIF('05 Support &amp; Income'!$A$5:$A$41,A14,'05 Support &amp; Income'!$F$5:$F$41)</f>
        <v>0</v>
      </c>
      <c r="N14" s="88"/>
      <c r="O14" s="88"/>
      <c r="P14" s="9" t="str">
        <f>IF(AND(C14="No",OR(SUM(D14:F14,J14:L14)&lt;&gt;0,SUMIF('09 Core Activity &amp; Capacity'!$A$6:$A$98,A14,'09 Core Activity &amp; Capacity'!$F$6:$F$98)&lt;&gt;0,SUMIF('11 Optional Community'!$A$19:$A$30,A14,'11 Optional Community'!$F$19:$F$30)&lt;&gt;0)),"ERROR - INACTIVE DATA","OK")</f>
        <v>OK</v>
      </c>
      <c r="Q14" t="str">
        <f t="shared" si="2"/>
        <v>ADU_DOM | Domiciliary / home care</v>
      </c>
    </row>
    <row r="15" spans="1:17">
      <c r="A15" s="3" t="s">
        <v>136</v>
      </c>
      <c r="B15" s="3" t="s">
        <v>137</v>
      </c>
      <c r="C15" s="9" t="str">
        <f>IF(COUNTIFS('02 Hospice Setup'!$A$26:$A$50,A15,'02 Hospice Setup'!$E$26:$E$50,"Yes")&gt;0,"Yes","No")</f>
        <v>No</v>
      </c>
      <c r="D15" s="92">
        <v>0</v>
      </c>
      <c r="E15" s="93">
        <v>0</v>
      </c>
      <c r="F15" s="92">
        <v>0</v>
      </c>
      <c r="G15" s="81" t="s">
        <v>370</v>
      </c>
      <c r="H15" s="12">
        <f t="shared" si="0"/>
        <v>1</v>
      </c>
      <c r="I15" s="12">
        <f t="shared" si="1"/>
        <v>0</v>
      </c>
      <c r="J15" s="94">
        <v>0</v>
      </c>
      <c r="K15" s="92">
        <v>0</v>
      </c>
      <c r="L15" s="95">
        <v>0</v>
      </c>
      <c r="M15" s="11">
        <f>SUMIF('04 Service Costs'!$A$5:$A$31,A15,'04 Service Costs'!$L$5:$L$31)+SUMIF('05 Support &amp; Income'!$A$5:$A$41,A15,'05 Support &amp; Income'!$F$5:$F$41)</f>
        <v>0</v>
      </c>
      <c r="N15" s="88"/>
      <c r="O15" s="88"/>
      <c r="P15" s="9" t="str">
        <f>IF(AND(C15="No",OR(SUM(D15:F15,J15:L15)&lt;&gt;0,SUMIF('09 Core Activity &amp; Capacity'!$A$6:$A$98,A15,'09 Core Activity &amp; Capacity'!$F$6:$F$98)&lt;&gt;0,SUMIF('11 Optional Community'!$A$19:$A$30,A15,'11 Optional Community'!$F$19:$F$30)&lt;&gt;0)),"ERROR - INACTIVE DATA","OK")</f>
        <v>OK</v>
      </c>
      <c r="Q15" t="str">
        <f t="shared" si="2"/>
        <v>ADU_LYM | Lymphoedema</v>
      </c>
    </row>
    <row r="16" spans="1:17">
      <c r="A16" s="3" t="s">
        <v>138</v>
      </c>
      <c r="B16" s="3" t="s">
        <v>140</v>
      </c>
      <c r="C16" s="9" t="str">
        <f>IF(COUNTIFS('02 Hospice Setup'!$A$26:$A$50,A16,'02 Hospice Setup'!$E$26:$E$50,"Yes")&gt;0,"Yes","No")</f>
        <v>No</v>
      </c>
      <c r="D16" s="92">
        <v>0</v>
      </c>
      <c r="E16" s="93">
        <v>0</v>
      </c>
      <c r="F16" s="92">
        <v>0</v>
      </c>
      <c r="G16" s="81" t="s">
        <v>370</v>
      </c>
      <c r="H16" s="12">
        <f t="shared" si="0"/>
        <v>1</v>
      </c>
      <c r="I16" s="12">
        <f t="shared" si="1"/>
        <v>0</v>
      </c>
      <c r="J16" s="94">
        <v>0</v>
      </c>
      <c r="K16" s="92">
        <v>0</v>
      </c>
      <c r="L16" s="95">
        <v>0</v>
      </c>
      <c r="M16" s="11">
        <f>SUMIF('04 Service Costs'!$A$5:$A$31,A16,'04 Service Costs'!$L$5:$L$31)+SUMIF('05 Support &amp; Income'!$A$5:$A$41,A16,'05 Support &amp; Income'!$F$5:$F$41)</f>
        <v>0</v>
      </c>
      <c r="N16" s="88"/>
      <c r="O16" s="88"/>
      <c r="P16" s="9" t="str">
        <f>IF(AND(C16="No",OR(SUM(D16:F16,J16:L16)&lt;&gt;0,SUMIF('09 Core Activity &amp; Capacity'!$A$6:$A$98,A16,'09 Core Activity &amp; Capacity'!$F$6:$F$98)&lt;&gt;0,SUMIF('11 Optional Community'!$A$19:$A$30,A16,'11 Optional Community'!$F$19:$F$30)&lt;&gt;0)),"ERROR - INACTIVE DATA","OK")</f>
        <v>OK</v>
      </c>
      <c r="Q16" t="str">
        <f t="shared" si="2"/>
        <v>ADU_BER | Bereavement</v>
      </c>
    </row>
    <row r="17" spans="1:17">
      <c r="A17" s="3" t="s">
        <v>141</v>
      </c>
      <c r="B17" s="3" t="s">
        <v>142</v>
      </c>
      <c r="C17" s="9" t="str">
        <f>IF(COUNTIFS('02 Hospice Setup'!$A$26:$A$50,A17,'02 Hospice Setup'!$E$26:$E$50,"Yes")&gt;0,"Yes","No")</f>
        <v>No</v>
      </c>
      <c r="D17" s="92">
        <v>0</v>
      </c>
      <c r="E17" s="93">
        <v>0</v>
      </c>
      <c r="F17" s="92">
        <v>0</v>
      </c>
      <c r="G17" s="81" t="s">
        <v>370</v>
      </c>
      <c r="H17" s="12">
        <f t="shared" si="0"/>
        <v>1</v>
      </c>
      <c r="I17" s="12">
        <f t="shared" si="1"/>
        <v>0</v>
      </c>
      <c r="J17" s="94">
        <v>0</v>
      </c>
      <c r="K17" s="92">
        <v>0</v>
      </c>
      <c r="L17" s="95">
        <v>0</v>
      </c>
      <c r="M17" s="11">
        <f>SUMIF('04 Service Costs'!$A$5:$A$31,A17,'04 Service Costs'!$L$5:$L$31)+SUMIF('05 Support &amp; Income'!$A$5:$A$41,A17,'05 Support &amp; Income'!$F$5:$F$41)</f>
        <v>0</v>
      </c>
      <c r="N17" s="88"/>
      <c r="O17" s="88"/>
      <c r="P17" s="9" t="str">
        <f>IF(AND(C17="No",OR(SUM(D17:F17,J17:L17)&lt;&gt;0,SUMIF('09 Core Activity &amp; Capacity'!$A$6:$A$98,A17,'09 Core Activity &amp; Capacity'!$F$6:$F$98)&lt;&gt;0,SUMIF('11 Optional Community'!$A$19:$A$30,A17,'11 Optional Community'!$F$19:$F$30)&lt;&gt;0)),"ERROR - INACTIVE DATA","OK")</f>
        <v>OK</v>
      </c>
      <c r="Q17" t="str">
        <f t="shared" si="2"/>
        <v>ADU_FAM | Family and carer support</v>
      </c>
    </row>
    <row r="18" spans="1:17">
      <c r="A18" s="3" t="s">
        <v>143</v>
      </c>
      <c r="B18" s="3" t="s">
        <v>144</v>
      </c>
      <c r="C18" s="9" t="str">
        <f>IF(COUNTIFS('02 Hospice Setup'!$A$26:$A$50,A18,'02 Hospice Setup'!$E$26:$E$50,"Yes")&gt;0,"Yes","No")</f>
        <v>No</v>
      </c>
      <c r="D18" s="92">
        <v>0</v>
      </c>
      <c r="E18" s="93">
        <v>0</v>
      </c>
      <c r="F18" s="92">
        <v>0</v>
      </c>
      <c r="G18" s="81" t="s">
        <v>370</v>
      </c>
      <c r="H18" s="12">
        <f t="shared" si="0"/>
        <v>1</v>
      </c>
      <c r="I18" s="12">
        <f t="shared" si="1"/>
        <v>0</v>
      </c>
      <c r="J18" s="94">
        <v>0</v>
      </c>
      <c r="K18" s="92">
        <v>0</v>
      </c>
      <c r="L18" s="95">
        <v>0</v>
      </c>
      <c r="M18" s="11">
        <f>SUMIF('04 Service Costs'!$A$5:$A$31,A18,'04 Service Costs'!$L$5:$L$31)+SUMIF('05 Support &amp; Income'!$A$5:$A$41,A18,'05 Support &amp; Income'!$F$5:$F$41)</f>
        <v>0</v>
      </c>
      <c r="N18" s="88"/>
      <c r="O18" s="88"/>
      <c r="P18" s="9" t="str">
        <f>IF(AND(C18="No",OR(SUM(D18:F18,J18:L18)&lt;&gt;0,SUMIF('09 Core Activity &amp; Capacity'!$A$6:$A$98,A18,'09 Core Activity &amp; Capacity'!$F$6:$F$98)&lt;&gt;0,SUMIF('11 Optional Community'!$A$19:$A$30,A18,'11 Optional Community'!$F$19:$F$30)&lt;&gt;0)),"ERROR - INACTIVE DATA","OK")</f>
        <v>OK</v>
      </c>
      <c r="Q18" t="str">
        <f t="shared" si="2"/>
        <v>ADU_LW | Living well services</v>
      </c>
    </row>
    <row r="19" spans="1:17">
      <c r="A19" s="3" t="s">
        <v>145</v>
      </c>
      <c r="B19" s="3" t="s">
        <v>148</v>
      </c>
      <c r="C19" s="9" t="str">
        <f>IF(COUNTIFS('02 Hospice Setup'!$A$26:$A$50,A19,'02 Hospice Setup'!$E$26:$E$50,"Yes")&gt;0,"Yes","No")</f>
        <v>No</v>
      </c>
      <c r="D19" s="92">
        <v>0</v>
      </c>
      <c r="E19" s="93">
        <v>0</v>
      </c>
      <c r="F19" s="92">
        <v>0</v>
      </c>
      <c r="G19" s="81" t="s">
        <v>106</v>
      </c>
      <c r="H19" s="12">
        <f t="shared" si="0"/>
        <v>3</v>
      </c>
      <c r="I19" s="12">
        <f t="shared" si="1"/>
        <v>0</v>
      </c>
      <c r="J19" s="94">
        <v>0</v>
      </c>
      <c r="K19" s="92">
        <v>0</v>
      </c>
      <c r="L19" s="95">
        <v>0</v>
      </c>
      <c r="M19" s="11">
        <f>SUMIF('04 Service Costs'!$A$5:$A$31,A19,'04 Service Costs'!$L$5:$L$31)+SUMIF('05 Support &amp; Income'!$A$5:$A$41,A19,'05 Support &amp; Income'!$F$5:$F$41)</f>
        <v>0</v>
      </c>
      <c r="N19" s="88"/>
      <c r="O19" s="88"/>
      <c r="P19" s="9" t="str">
        <f>IF(AND(C19="No",OR(SUM(D19:F19,J19:L19)&lt;&gt;0,SUMIF('09 Core Activity &amp; Capacity'!$A$6:$A$98,A19,'09 Core Activity &amp; Capacity'!$F$6:$F$98)&lt;&gt;0,SUMIF('11 Optional Community'!$A$19:$A$30,A19,'11 Optional Community'!$F$19:$F$30)&lt;&gt;0)),"ERROR - INACTIVE DATA","OK")</f>
        <v>OK</v>
      </c>
      <c r="Q19" t="str">
        <f t="shared" si="2"/>
        <v>CH_RES | Respite</v>
      </c>
    </row>
    <row r="20" spans="1:17">
      <c r="A20" s="3" t="s">
        <v>149</v>
      </c>
      <c r="B20" s="3" t="s">
        <v>150</v>
      </c>
      <c r="C20" s="9" t="str">
        <f>IF(COUNTIFS('02 Hospice Setup'!$A$26:$A$50,A20,'02 Hospice Setup'!$E$26:$E$50,"Yes")&gt;0,"Yes","No")</f>
        <v>No</v>
      </c>
      <c r="D20" s="92">
        <v>0</v>
      </c>
      <c r="E20" s="93">
        <v>0</v>
      </c>
      <c r="F20" s="92">
        <v>0</v>
      </c>
      <c r="G20" s="81" t="s">
        <v>370</v>
      </c>
      <c r="H20" s="12">
        <f t="shared" si="0"/>
        <v>1</v>
      </c>
      <c r="I20" s="12">
        <f t="shared" si="1"/>
        <v>0</v>
      </c>
      <c r="J20" s="94">
        <v>0</v>
      </c>
      <c r="K20" s="92">
        <v>0</v>
      </c>
      <c r="L20" s="95">
        <v>0</v>
      </c>
      <c r="M20" s="11">
        <f>SUMIF('04 Service Costs'!$A$5:$A$31,A20,'04 Service Costs'!$L$5:$L$31)+SUMIF('05 Support &amp; Income'!$A$5:$A$41,A20,'05 Support &amp; Income'!$F$5:$F$41)</f>
        <v>0</v>
      </c>
      <c r="N20" s="88"/>
      <c r="O20" s="88"/>
      <c r="P20" s="9" t="str">
        <f>IF(AND(C20="No",OR(SUM(D20:F20,J20:L20)&lt;&gt;0,SUMIF('09 Core Activity &amp; Capacity'!$A$6:$A$98,A20,'09 Core Activity &amp; Capacity'!$F$6:$F$98)&lt;&gt;0,SUMIF('11 Optional Community'!$A$19:$A$30,A20,'11 Optional Community'!$F$19:$F$30)&lt;&gt;0)),"ERROR - INACTIVE DATA","OK")</f>
        <v>OK</v>
      </c>
      <c r="Q20" t="str">
        <f t="shared" si="2"/>
        <v>CH_CN_SP | Specialist community visiting</v>
      </c>
    </row>
    <row r="21" spans="1:17">
      <c r="A21" s="3" t="s">
        <v>151</v>
      </c>
      <c r="B21" s="3" t="s">
        <v>152</v>
      </c>
      <c r="C21" s="9" t="str">
        <f>IF(COUNTIFS('02 Hospice Setup'!$A$26:$A$50,A21,'02 Hospice Setup'!$E$26:$E$50,"Yes")&gt;0,"Yes","No")</f>
        <v>No</v>
      </c>
      <c r="D21" s="92">
        <v>0</v>
      </c>
      <c r="E21" s="93">
        <v>0</v>
      </c>
      <c r="F21" s="92">
        <v>0</v>
      </c>
      <c r="G21" s="81" t="s">
        <v>370</v>
      </c>
      <c r="H21" s="12">
        <f t="shared" si="0"/>
        <v>1</v>
      </c>
      <c r="I21" s="12">
        <f t="shared" si="1"/>
        <v>0</v>
      </c>
      <c r="J21" s="94">
        <v>0</v>
      </c>
      <c r="K21" s="92">
        <v>0</v>
      </c>
      <c r="L21" s="95">
        <v>0</v>
      </c>
      <c r="M21" s="11">
        <f>SUMIF('04 Service Costs'!$A$5:$A$31,A21,'04 Service Costs'!$L$5:$L$31)+SUMIF('05 Support &amp; Income'!$A$5:$A$41,A21,'05 Support &amp; Income'!$F$5:$F$41)</f>
        <v>0</v>
      </c>
      <c r="N21" s="88"/>
      <c r="O21" s="88"/>
      <c r="P21" s="9" t="str">
        <f>IF(AND(C21="No",OR(SUM(D21:F21,J21:L21)&lt;&gt;0,SUMIF('09 Core Activity &amp; Capacity'!$A$6:$A$98,A21,'09 Core Activity &amp; Capacity'!$F$6:$F$98)&lt;&gt;0,SUMIF('11 Optional Community'!$A$19:$A$30,A21,'11 Optional Community'!$F$19:$F$30)&lt;&gt;0)),"ERROR - INACTIVE DATA","OK")</f>
        <v>OK</v>
      </c>
      <c r="Q21" t="str">
        <f t="shared" si="2"/>
        <v>CH_CN_GEN | Generalist community visiting</v>
      </c>
    </row>
    <row r="22" spans="1:17">
      <c r="A22" s="3" t="s">
        <v>153</v>
      </c>
      <c r="B22" s="3" t="s">
        <v>154</v>
      </c>
      <c r="C22" s="9" t="str">
        <f>IF(COUNTIFS('02 Hospice Setup'!$A$26:$A$50,A22,'02 Hospice Setup'!$E$26:$E$50,"Yes")&gt;0,"Yes","No")</f>
        <v>No</v>
      </c>
      <c r="D22" s="92">
        <v>0</v>
      </c>
      <c r="E22" s="93">
        <v>0</v>
      </c>
      <c r="F22" s="92">
        <v>0</v>
      </c>
      <c r="G22" s="81" t="s">
        <v>370</v>
      </c>
      <c r="H22" s="12">
        <f t="shared" si="0"/>
        <v>1</v>
      </c>
      <c r="I22" s="12">
        <f t="shared" si="1"/>
        <v>0</v>
      </c>
      <c r="J22" s="94">
        <v>0</v>
      </c>
      <c r="K22" s="92">
        <v>0</v>
      </c>
      <c r="L22" s="95">
        <v>0</v>
      </c>
      <c r="M22" s="11">
        <f>SUMIF('04 Service Costs'!$A$5:$A$31,A22,'04 Service Costs'!$L$5:$L$31)+SUMIF('05 Support &amp; Income'!$A$5:$A$41,A22,'05 Support &amp; Income'!$F$5:$F$41)</f>
        <v>0</v>
      </c>
      <c r="N22" s="88"/>
      <c r="O22" s="88"/>
      <c r="P22" s="9" t="str">
        <f>IF(AND(C22="No",OR(SUM(D22:F22,J22:L22)&lt;&gt;0,SUMIF('09 Core Activity &amp; Capacity'!$A$6:$A$98,A22,'09 Core Activity &amp; Capacity'!$F$6:$F$98)&lt;&gt;0,SUMIF('11 Optional Community'!$A$19:$A$30,A22,'11 Optional Community'!$F$19:$F$30)&lt;&gt;0)),"ERROR - INACTIVE DATA","OK")</f>
        <v>OK</v>
      </c>
      <c r="Q22" t="str">
        <f t="shared" si="2"/>
        <v>CH_EOL | End-of-life care</v>
      </c>
    </row>
    <row r="23" spans="1:17">
      <c r="A23" s="3" t="s">
        <v>155</v>
      </c>
      <c r="B23" s="3" t="s">
        <v>121</v>
      </c>
      <c r="C23" s="9" t="str">
        <f>IF(COUNTIFS('02 Hospice Setup'!$A$26:$A$50,A23,'02 Hospice Setup'!$E$26:$E$50,"Yes")&gt;0,"Yes","No")</f>
        <v>No</v>
      </c>
      <c r="D23" s="92">
        <v>0</v>
      </c>
      <c r="E23" s="93">
        <v>0</v>
      </c>
      <c r="F23" s="92">
        <v>0</v>
      </c>
      <c r="G23" s="81" t="s">
        <v>370</v>
      </c>
      <c r="H23" s="12">
        <f t="shared" si="0"/>
        <v>1</v>
      </c>
      <c r="I23" s="12">
        <f t="shared" si="1"/>
        <v>0</v>
      </c>
      <c r="J23" s="94">
        <v>0</v>
      </c>
      <c r="K23" s="92">
        <v>0</v>
      </c>
      <c r="L23" s="95">
        <v>0</v>
      </c>
      <c r="M23" s="11">
        <f>SUMIF('04 Service Costs'!$A$5:$A$31,A23,'04 Service Costs'!$L$5:$L$31)+SUMIF('05 Support &amp; Income'!$A$5:$A$41,A23,'05 Support &amp; Income'!$F$5:$F$41)</f>
        <v>0</v>
      </c>
      <c r="N23" s="88"/>
      <c r="O23" s="88"/>
      <c r="P23" s="9" t="str">
        <f>IF(AND(C23="No",OR(SUM(D23:F23,J23:L23)&lt;&gt;0,SUMIF('09 Core Activity &amp; Capacity'!$A$6:$A$98,A23,'09 Core Activity &amp; Capacity'!$F$6:$F$98)&lt;&gt;0,SUMIF('11 Optional Community'!$A$19:$A$30,A23,'11 Optional Community'!$F$19:$F$30)&lt;&gt;0)),"ERROR - INACTIVE DATA","OK")</f>
        <v>OK</v>
      </c>
      <c r="Q23" t="str">
        <f t="shared" si="2"/>
        <v>CH_HIR | Hospital in-reach</v>
      </c>
    </row>
    <row r="24" spans="1:17">
      <c r="A24" s="3" t="s">
        <v>156</v>
      </c>
      <c r="B24" s="3" t="s">
        <v>157</v>
      </c>
      <c r="C24" s="9" t="str">
        <f>IF(COUNTIFS('02 Hospice Setup'!$A$26:$A$50,A24,'02 Hospice Setup'!$E$26:$E$50,"Yes")&gt;0,"Yes","No")</f>
        <v>No</v>
      </c>
      <c r="D24" s="92">
        <v>0</v>
      </c>
      <c r="E24" s="93">
        <v>0</v>
      </c>
      <c r="F24" s="92">
        <v>0</v>
      </c>
      <c r="G24" s="81" t="s">
        <v>370</v>
      </c>
      <c r="H24" s="12">
        <f t="shared" si="0"/>
        <v>1</v>
      </c>
      <c r="I24" s="12">
        <f t="shared" si="1"/>
        <v>0</v>
      </c>
      <c r="J24" s="94">
        <v>0</v>
      </c>
      <c r="K24" s="92">
        <v>0</v>
      </c>
      <c r="L24" s="95">
        <v>0</v>
      </c>
      <c r="M24" s="11">
        <f>SUMIF('04 Service Costs'!$A$5:$A$31,A24,'04 Service Costs'!$L$5:$L$31)+SUMIF('05 Support &amp; Income'!$A$5:$A$41,A24,'05 Support &amp; Income'!$F$5:$F$41)</f>
        <v>0</v>
      </c>
      <c r="N24" s="88"/>
      <c r="O24" s="88"/>
      <c r="P24" s="9" t="str">
        <f>IF(AND(C24="No",OR(SUM(D24:F24,J24:L24)&lt;&gt;0,SUMIF('09 Core Activity &amp; Capacity'!$A$6:$A$98,A24,'09 Core Activity &amp; Capacity'!$F$6:$F$98)&lt;&gt;0,SUMIF('11 Optional Community'!$A$19:$A$30,A24,'11 Optional Community'!$F$19:$F$30)&lt;&gt;0)),"ERROR - INACTIVE DATA","OK")</f>
        <v>OK</v>
      </c>
      <c r="Q24" t="str">
        <f t="shared" si="2"/>
        <v>CH_TH | Therapies</v>
      </c>
    </row>
    <row r="25" spans="1:17">
      <c r="A25" s="3" t="s">
        <v>158</v>
      </c>
      <c r="B25" s="3" t="s">
        <v>159</v>
      </c>
      <c r="C25" s="9" t="str">
        <f>IF(COUNTIFS('02 Hospice Setup'!$A$26:$A$50,A25,'02 Hospice Setup'!$E$26:$E$50,"Yes")&gt;0,"Yes","No")</f>
        <v>No</v>
      </c>
      <c r="D25" s="92">
        <v>0</v>
      </c>
      <c r="E25" s="93">
        <v>0</v>
      </c>
      <c r="F25" s="92">
        <v>0</v>
      </c>
      <c r="G25" s="81" t="s">
        <v>370</v>
      </c>
      <c r="H25" s="12">
        <f t="shared" si="0"/>
        <v>1</v>
      </c>
      <c r="I25" s="12">
        <f t="shared" si="1"/>
        <v>0</v>
      </c>
      <c r="J25" s="94">
        <v>0</v>
      </c>
      <c r="K25" s="92">
        <v>0</v>
      </c>
      <c r="L25" s="95">
        <v>0</v>
      </c>
      <c r="M25" s="11">
        <f>SUMIF('04 Service Costs'!$A$5:$A$31,A25,'04 Service Costs'!$L$5:$L$31)+SUMIF('05 Support &amp; Income'!$A$5:$A$41,A25,'05 Support &amp; Income'!$F$5:$F$41)</f>
        <v>0</v>
      </c>
      <c r="N25" s="88"/>
      <c r="O25" s="88"/>
      <c r="P25" s="9" t="str">
        <f>IF(AND(C25="No",OR(SUM(D25:F25,J25:L25)&lt;&gt;0,SUMIF('09 Core Activity &amp; Capacity'!$A$6:$A$98,A25,'09 Core Activity &amp; Capacity'!$F$6:$F$98)&lt;&gt;0,SUMIF('11 Optional Community'!$A$19:$A$30,A25,'11 Optional Community'!$F$19:$F$30)&lt;&gt;0)),"ERROR - INACTIVE DATA","OK")</f>
        <v>OK</v>
      </c>
      <c r="Q25" t="str">
        <f t="shared" si="2"/>
        <v>CH_FS | Family support</v>
      </c>
    </row>
    <row r="26" spans="1:17">
      <c r="A26" s="3" t="s">
        <v>160</v>
      </c>
      <c r="B26" s="3" t="s">
        <v>161</v>
      </c>
      <c r="C26" s="9" t="str">
        <f>IF(COUNTIFS('02 Hospice Setup'!$A$26:$A$50,A26,'02 Hospice Setup'!$E$26:$E$50,"Yes")&gt;0,"Yes","No")</f>
        <v>No</v>
      </c>
      <c r="D26" s="92">
        <v>0</v>
      </c>
      <c r="E26" s="93">
        <v>0</v>
      </c>
      <c r="F26" s="92">
        <v>0</v>
      </c>
      <c r="G26" s="81" t="s">
        <v>370</v>
      </c>
      <c r="H26" s="12">
        <f t="shared" si="0"/>
        <v>1</v>
      </c>
      <c r="I26" s="12">
        <f t="shared" si="1"/>
        <v>0</v>
      </c>
      <c r="J26" s="94">
        <v>0</v>
      </c>
      <c r="K26" s="92">
        <v>0</v>
      </c>
      <c r="L26" s="95">
        <v>0</v>
      </c>
      <c r="M26" s="11">
        <f>SUMIF('04 Service Costs'!$A$5:$A$31,A26,'04 Service Costs'!$L$5:$L$31)+SUMIF('05 Support &amp; Income'!$A$5:$A$41,A26,'05 Support &amp; Income'!$F$5:$F$41)</f>
        <v>0</v>
      </c>
      <c r="N26" s="88"/>
      <c r="O26" s="88"/>
      <c r="P26" s="9" t="str">
        <f>IF(AND(C26="No",OR(SUM(D26:F26,J26:L26)&lt;&gt;0,SUMIF('09 Core Activity &amp; Capacity'!$A$6:$A$98,A26,'09 Core Activity &amp; Capacity'!$F$6:$F$98)&lt;&gt;0,SUMIF('11 Optional Community'!$A$19:$A$30,A26,'11 Optional Community'!$F$19:$F$30)&lt;&gt;0)),"ERROR - INACTIVE DATA","OK")</f>
        <v>OK</v>
      </c>
      <c r="Q26" t="str">
        <f t="shared" si="2"/>
        <v>CH_BER | Bereavement services</v>
      </c>
    </row>
    <row r="27" spans="1:17">
      <c r="A27" s="3" t="s">
        <v>162</v>
      </c>
      <c r="B27" s="3" t="s">
        <v>163</v>
      </c>
      <c r="C27" s="9" t="str">
        <f>IF(COUNTIFS('02 Hospice Setup'!$A$26:$A$50,A27,'02 Hospice Setup'!$E$26:$E$50,"Yes")&gt;0,"Yes","No")</f>
        <v>No</v>
      </c>
      <c r="D27" s="92">
        <v>0</v>
      </c>
      <c r="E27" s="93">
        <v>0</v>
      </c>
      <c r="F27" s="92">
        <v>0</v>
      </c>
      <c r="G27" s="81" t="s">
        <v>370</v>
      </c>
      <c r="H27" s="12">
        <f t="shared" si="0"/>
        <v>1</v>
      </c>
      <c r="I27" s="12">
        <f t="shared" si="1"/>
        <v>0</v>
      </c>
      <c r="J27" s="94">
        <v>0</v>
      </c>
      <c r="K27" s="92">
        <v>0</v>
      </c>
      <c r="L27" s="95">
        <v>0</v>
      </c>
      <c r="M27" s="11">
        <f>SUMIF('04 Service Costs'!$A$5:$A$31,A27,'04 Service Costs'!$L$5:$L$31)+SUMIF('05 Support &amp; Income'!$A$5:$A$41,A27,'05 Support &amp; Income'!$F$5:$F$41)</f>
        <v>0</v>
      </c>
      <c r="N27" s="88"/>
      <c r="O27" s="88"/>
      <c r="P27" s="9" t="str">
        <f>IF(AND(C27="No",OR(SUM(D27:F27,J27:L27)&lt;&gt;0,SUMIF('09 Core Activity &amp; Capacity'!$A$6:$A$98,A27,'09 Core Activity &amp; Capacity'!$F$6:$F$98)&lt;&gt;0,SUMIF('11 Optional Community'!$A$19:$A$30,A27,'11 Optional Community'!$F$19:$F$30)&lt;&gt;0)),"ERROR - INACTIVE DATA","OK")</f>
        <v>OK</v>
      </c>
      <c r="Q27" t="str">
        <f t="shared" si="2"/>
        <v>CH_DAY | Day services</v>
      </c>
    </row>
    <row r="28" spans="1:17">
      <c r="A28" s="3" t="s">
        <v>164</v>
      </c>
      <c r="B28" s="3" t="s">
        <v>167</v>
      </c>
      <c r="C28" s="9" t="str">
        <f>IF(COUNTIFS('02 Hospice Setup'!$A$26:$A$50,A28,'02 Hospice Setup'!$E$26:$E$50,"Yes")&gt;0,"Yes","No")</f>
        <v>No</v>
      </c>
      <c r="D28" s="92">
        <v>0</v>
      </c>
      <c r="E28" s="93">
        <v>0</v>
      </c>
      <c r="F28" s="92">
        <v>0</v>
      </c>
      <c r="G28" s="81" t="s">
        <v>370</v>
      </c>
      <c r="H28" s="12">
        <f t="shared" si="0"/>
        <v>1</v>
      </c>
      <c r="I28" s="12">
        <f t="shared" si="1"/>
        <v>0</v>
      </c>
      <c r="J28" s="94">
        <v>0</v>
      </c>
      <c r="K28" s="92">
        <v>0</v>
      </c>
      <c r="L28" s="95">
        <v>0</v>
      </c>
      <c r="M28" s="11">
        <f>SUMIF('04 Service Costs'!$A$5:$A$31,A28,'04 Service Costs'!$L$5:$L$31)+SUMIF('05 Support &amp; Income'!$A$5:$A$41,A28,'05 Support &amp; Income'!$F$5:$F$41)</f>
        <v>0</v>
      </c>
      <c r="N28" s="88"/>
      <c r="O28" s="88"/>
      <c r="P28" s="9" t="str">
        <f>IF(AND(C28="No",OR(SUM(D28:F28,J28:L28)&lt;&gt;0,SUMIF('09 Core Activity &amp; Capacity'!$A$6:$A$98,A28,'09 Core Activity &amp; Capacity'!$F$6:$F$98)&lt;&gt;0,SUMIF('11 Optional Community'!$A$19:$A$30,A28,'11 Optional Community'!$F$19:$F$30)&lt;&gt;0)),"ERROR - INACTIVE DATA","OK")</f>
        <v>OK</v>
      </c>
      <c r="Q28" t="str">
        <f t="shared" si="2"/>
        <v>OTH_EDU | Education</v>
      </c>
    </row>
    <row r="29" spans="1:17">
      <c r="A29" s="3" t="s">
        <v>168</v>
      </c>
      <c r="B29" s="3" t="s">
        <v>169</v>
      </c>
      <c r="C29" s="9" t="str">
        <f>IF(COUNTIFS('02 Hospice Setup'!$A$26:$A$50,A29,'02 Hospice Setup'!$E$26:$E$50,"Yes")&gt;0,"Yes","No")</f>
        <v>No</v>
      </c>
      <c r="D29" s="92">
        <v>0</v>
      </c>
      <c r="E29" s="93">
        <v>0</v>
      </c>
      <c r="F29" s="92">
        <v>0</v>
      </c>
      <c r="G29" s="81" t="s">
        <v>370</v>
      </c>
      <c r="H29" s="12">
        <f t="shared" si="0"/>
        <v>1</v>
      </c>
      <c r="I29" s="12">
        <f t="shared" si="1"/>
        <v>0</v>
      </c>
      <c r="J29" s="94">
        <v>0</v>
      </c>
      <c r="K29" s="92">
        <v>0</v>
      </c>
      <c r="L29" s="95">
        <v>0</v>
      </c>
      <c r="M29" s="11">
        <f>SUMIF('04 Service Costs'!$A$5:$A$31,A29,'04 Service Costs'!$L$5:$L$31)+SUMIF('05 Support &amp; Income'!$A$5:$A$41,A29,'05 Support &amp; Income'!$F$5:$F$41)</f>
        <v>0</v>
      </c>
      <c r="N29" s="88"/>
      <c r="O29" s="88"/>
      <c r="P29" s="9" t="str">
        <f>IF(AND(C29="No",OR(SUM(D29:F29,J29:L29)&lt;&gt;0,SUMIF('09 Core Activity &amp; Capacity'!$A$6:$A$98,A29,'09 Core Activity &amp; Capacity'!$F$6:$F$98)&lt;&gt;0,SUMIF('11 Optional Community'!$A$19:$A$30,A29,'11 Optional Community'!$F$19:$F$30)&lt;&gt;0)),"ERROR - INACTIVE DATA","OK")</f>
        <v>OK</v>
      </c>
      <c r="Q29" t="str">
        <f t="shared" si="2"/>
        <v>OTH_RES | Research</v>
      </c>
    </row>
    <row r="30" spans="1:17">
      <c r="A30" s="3" t="s">
        <v>170</v>
      </c>
      <c r="B30" s="3" t="s">
        <v>166</v>
      </c>
      <c r="C30" s="9" t="str">
        <f>IF(COUNTIFS('02 Hospice Setup'!$A$26:$A$50,A30,'02 Hospice Setup'!$E$26:$E$50,"Yes")&gt;0,"Yes","No")</f>
        <v>No</v>
      </c>
      <c r="D30" s="92">
        <v>0</v>
      </c>
      <c r="E30" s="93">
        <v>0</v>
      </c>
      <c r="F30" s="92">
        <v>0</v>
      </c>
      <c r="G30" s="81" t="s">
        <v>370</v>
      </c>
      <c r="H30" s="12">
        <f t="shared" si="0"/>
        <v>1</v>
      </c>
      <c r="I30" s="12">
        <f t="shared" si="1"/>
        <v>0</v>
      </c>
      <c r="J30" s="94">
        <v>0</v>
      </c>
      <c r="K30" s="92">
        <v>0</v>
      </c>
      <c r="L30" s="95">
        <v>0</v>
      </c>
      <c r="M30" s="11">
        <f>SUMIF('04 Service Costs'!$A$5:$A$31,A30,'04 Service Costs'!$L$5:$L$31)+SUMIF('05 Support &amp; Income'!$A$5:$A$41,A30,'05 Support &amp; Income'!$F$5:$F$41)</f>
        <v>0</v>
      </c>
      <c r="N30" s="88"/>
      <c r="O30" s="88"/>
      <c r="P30" s="9" t="str">
        <f>IF(AND(C30="No",OR(SUM(D30:F30,J30:L30)&lt;&gt;0,SUMIF('09 Core Activity &amp; Capacity'!$A$6:$A$98,A30,'09 Core Activity &amp; Capacity'!$F$6:$F$98)&lt;&gt;0,SUMIF('11 Optional Community'!$A$19:$A$30,A30,'11 Optional Community'!$F$19:$F$30)&lt;&gt;0)),"ERROR - INACTIVE DATA","OK")</f>
        <v>OK</v>
      </c>
      <c r="Q30" t="str">
        <f t="shared" si="2"/>
        <v>OTH_OTHER | Other charitable activity</v>
      </c>
    </row>
    <row r="31" spans="1:17">
      <c r="A31" s="3" t="s">
        <v>294</v>
      </c>
      <c r="B31" s="3" t="s">
        <v>295</v>
      </c>
      <c r="C31" s="9" t="str">
        <f>IF(M31&lt;&gt;0,"Yes","No")</f>
        <v>No</v>
      </c>
      <c r="D31" s="92">
        <v>0</v>
      </c>
      <c r="E31" s="93">
        <v>0</v>
      </c>
      <c r="F31" s="92">
        <v>0</v>
      </c>
      <c r="G31" s="81" t="s">
        <v>370</v>
      </c>
      <c r="H31" s="12">
        <f t="shared" si="0"/>
        <v>1</v>
      </c>
      <c r="I31" s="12">
        <f t="shared" si="1"/>
        <v>0</v>
      </c>
      <c r="J31" s="94">
        <v>0</v>
      </c>
      <c r="K31" s="92">
        <v>0</v>
      </c>
      <c r="L31" s="95">
        <v>0</v>
      </c>
      <c r="M31" s="11">
        <f>SUMIF('04 Service Costs'!$A$5:$A$31,A31,'04 Service Costs'!$L$5:$L$31)+SUMIF('05 Support &amp; Income'!$A$5:$A$41,A31,'05 Support &amp; Income'!$F$5:$F$41)</f>
        <v>0</v>
      </c>
      <c r="N31" s="88"/>
      <c r="O31" s="88"/>
      <c r="P31" s="9" t="str">
        <f>IF(AND(C31="No",OR(SUM(D31:F31,J31:L31)&lt;&gt;0,SUMIF('09 Core Activity &amp; Capacity'!$A$6:$A$98,A31,'09 Core Activity &amp; Capacity'!$F$6:$F$98)&lt;&gt;0,SUMIF('11 Optional Community'!$A$19:$A$30,A31,'11 Optional Community'!$F$19:$F$30)&lt;&gt;0)),"ERROR - INACTIVE DATA","OK")</f>
        <v>OK</v>
      </c>
      <c r="Q31" t="str">
        <f t="shared" si="2"/>
        <v>IG_RET | Retail</v>
      </c>
    </row>
    <row r="32" spans="1:17">
      <c r="A32" s="3" t="s">
        <v>303</v>
      </c>
      <c r="B32" s="3" t="s">
        <v>304</v>
      </c>
      <c r="C32" s="9" t="str">
        <f>IF(M32&lt;&gt;0,"Yes","No")</f>
        <v>No</v>
      </c>
      <c r="D32" s="92">
        <v>0</v>
      </c>
      <c r="E32" s="93">
        <v>0</v>
      </c>
      <c r="F32" s="92">
        <v>0</v>
      </c>
      <c r="G32" s="81" t="s">
        <v>370</v>
      </c>
      <c r="H32" s="12">
        <f t="shared" si="0"/>
        <v>1</v>
      </c>
      <c r="I32" s="12">
        <f t="shared" si="1"/>
        <v>0</v>
      </c>
      <c r="J32" s="94">
        <v>0</v>
      </c>
      <c r="K32" s="92">
        <v>0</v>
      </c>
      <c r="L32" s="95">
        <v>0</v>
      </c>
      <c r="M32" s="11">
        <f>SUMIF('04 Service Costs'!$A$5:$A$31,A32,'04 Service Costs'!$L$5:$L$31)+SUMIF('05 Support &amp; Income'!$A$5:$A$41,A32,'05 Support &amp; Income'!$F$5:$F$41)</f>
        <v>0</v>
      </c>
      <c r="N32" s="88"/>
      <c r="O32" s="88"/>
      <c r="P32" s="9" t="str">
        <f>IF(AND(C32="No",OR(SUM(D32:F32,J32:L32)&lt;&gt;0,SUMIF('09 Core Activity &amp; Capacity'!$A$6:$A$98,A32,'09 Core Activity &amp; Capacity'!$F$6:$F$98)&lt;&gt;0,SUMIF('11 Optional Community'!$A$19:$A$30,A32,'11 Optional Community'!$F$19:$F$30)&lt;&gt;0)),"ERROR - INACTIVE DATA","OK")</f>
        <v>OK</v>
      </c>
      <c r="Q32" t="str">
        <f t="shared" si="2"/>
        <v>IG_LOT | Lottery</v>
      </c>
    </row>
    <row r="33" spans="1:17">
      <c r="A33" s="3" t="s">
        <v>309</v>
      </c>
      <c r="B33" s="3" t="s">
        <v>310</v>
      </c>
      <c r="C33" s="9" t="str">
        <f>IF(M33&lt;&gt;0,"Yes","No")</f>
        <v>No</v>
      </c>
      <c r="D33" s="92">
        <v>0</v>
      </c>
      <c r="E33" s="93">
        <v>0</v>
      </c>
      <c r="F33" s="92">
        <v>0</v>
      </c>
      <c r="G33" s="81" t="s">
        <v>370</v>
      </c>
      <c r="H33" s="12">
        <f t="shared" si="0"/>
        <v>1</v>
      </c>
      <c r="I33" s="12">
        <f t="shared" si="1"/>
        <v>0</v>
      </c>
      <c r="J33" s="94">
        <v>0</v>
      </c>
      <c r="K33" s="92">
        <v>0</v>
      </c>
      <c r="L33" s="95">
        <v>0</v>
      </c>
      <c r="M33" s="11">
        <f>SUMIF('04 Service Costs'!$A$5:$A$31,A33,'04 Service Costs'!$L$5:$L$31)+SUMIF('05 Support &amp; Income'!$A$5:$A$41,A33,'05 Support &amp; Income'!$F$5:$F$41)</f>
        <v>0</v>
      </c>
      <c r="N33" s="88"/>
      <c r="O33" s="88"/>
      <c r="P33" s="9" t="str">
        <f>IF(AND(C33="No",OR(SUM(D33:F33,J33:L33)&lt;&gt;0,SUMIF('09 Core Activity &amp; Capacity'!$A$6:$A$98,A33,'09 Core Activity &amp; Capacity'!$F$6:$F$98)&lt;&gt;0,SUMIF('11 Optional Community'!$A$19:$A$30,A33,'11 Optional Community'!$F$19:$F$30)&lt;&gt;0)),"ERROR - INACTIVE DATA","OK")</f>
        <v>OK</v>
      </c>
      <c r="Q33" t="str">
        <f t="shared" si="2"/>
        <v>IG_FUND | Fundraising</v>
      </c>
    </row>
    <row r="34" spans="1:17" ht="42" customHeight="1">
      <c r="A34" s="22" t="s">
        <v>122</v>
      </c>
      <c r="B34" s="22" t="s">
        <v>124</v>
      </c>
      <c r="C34" s="22" t="str">
        <f>IF(COUNTIFS('02 Hospice Setup'!$A$26:$A$50,A34,'02 Hospice Setup'!$E$26:$E$50,"Yes")&gt;0,"Yes","No")</f>
        <v>No</v>
      </c>
      <c r="D34" s="96">
        <v>0</v>
      </c>
      <c r="E34" s="97">
        <v>0</v>
      </c>
      <c r="F34" s="96">
        <v>0</v>
      </c>
      <c r="G34" s="98" t="s">
        <v>370</v>
      </c>
      <c r="H34" s="24">
        <f t="shared" si="0"/>
        <v>1</v>
      </c>
      <c r="I34" s="24">
        <f t="shared" si="1"/>
        <v>0</v>
      </c>
      <c r="J34" s="99">
        <v>0</v>
      </c>
      <c r="K34" s="96">
        <v>0</v>
      </c>
      <c r="L34" s="100">
        <v>0</v>
      </c>
      <c r="M34" s="24">
        <f>SUMIF('04 Service Costs'!$A$5:$A$31,A34,'04 Service Costs'!$L$5:$L$31)+SUMIF('05 Support &amp; Income'!$A$5:$A$41,A34,'05 Support &amp; Income'!$F$5:$F$41)</f>
        <v>0</v>
      </c>
      <c r="N34" s="101"/>
      <c r="O34" s="101"/>
      <c r="P34" s="22" t="str">
        <f>IF(AND(C34="No",OR(SUM(D34:F34,J34:L34)&lt;&gt;0,SUMIF('09 Core Activity &amp; Capacity'!$A$6:$A$98,A34,'09 Core Activity &amp; Capacity'!$F$6:$F$98)&lt;&gt;0,SUMIF('11 Optional Community'!$A$19:$A$30,A34,'11 Optional Community'!$F$19:$F$30)&lt;&gt;0)),"ERROR - INACTIVE DATA","OK")</f>
        <v>OK</v>
      </c>
      <c r="Q34" t="str">
        <f t="shared" si="2"/>
        <v>ADU_VW | Virtual Wards / Hospice at Home</v>
      </c>
    </row>
    <row r="35" spans="1:17" ht="24" customHeight="1">
      <c r="A35" s="118" t="s">
        <v>371</v>
      </c>
      <c r="B35" s="118"/>
      <c r="C35" s="118"/>
      <c r="D35" s="118"/>
      <c r="E35" s="118"/>
      <c r="F35" s="118"/>
      <c r="G35" s="118"/>
      <c r="H35" s="118"/>
      <c r="I35" s="118"/>
      <c r="J35" s="118"/>
      <c r="K35" s="118"/>
      <c r="L35" s="118"/>
    </row>
    <row r="36" spans="1:17">
      <c r="A36" s="6" t="s">
        <v>241</v>
      </c>
      <c r="B36" s="6"/>
      <c r="C36" s="6"/>
      <c r="D36" s="6">
        <f>SUM(D5:D34)</f>
        <v>0</v>
      </c>
      <c r="E36" s="6">
        <f>SUM(E5:E34)</f>
        <v>0</v>
      </c>
      <c r="F36" s="6">
        <f>SUM(F5:F34)</f>
        <v>0</v>
      </c>
      <c r="G36" s="6"/>
      <c r="H36" s="6"/>
      <c r="I36" s="6">
        <f>SUM(I5:I34)</f>
        <v>0</v>
      </c>
      <c r="J36" s="6">
        <f>SUM(J5:J34)</f>
        <v>0</v>
      </c>
      <c r="K36" s="6">
        <f>SUM(K5:K34)</f>
        <v>0</v>
      </c>
      <c r="L36" s="13">
        <f>SUM(L5:L34)</f>
        <v>0</v>
      </c>
    </row>
    <row r="37" spans="1:17" ht="25" customHeight="1">
      <c r="A37" s="42" t="s">
        <v>372</v>
      </c>
      <c r="B37" s="42"/>
      <c r="C37" s="42"/>
      <c r="D37" s="42"/>
      <c r="E37" s="42"/>
      <c r="F37" s="42"/>
      <c r="G37" s="42"/>
      <c r="H37" s="42"/>
      <c r="I37" s="42"/>
      <c r="J37" s="42"/>
      <c r="K37" s="42"/>
      <c r="L37" s="43">
        <f>1-L36</f>
        <v>1</v>
      </c>
      <c r="M37" s="37"/>
      <c r="N37" s="37"/>
      <c r="O37" s="37"/>
      <c r="P37" s="37"/>
    </row>
    <row r="39" spans="1:17" ht="44" customHeight="1">
      <c r="A39" s="122" t="s">
        <v>373</v>
      </c>
      <c r="B39" s="122"/>
      <c r="C39" s="122"/>
      <c r="D39" s="122"/>
      <c r="E39" s="122"/>
      <c r="F39" s="122"/>
      <c r="G39" s="122"/>
      <c r="H39" s="122"/>
      <c r="I39" s="122"/>
      <c r="J39" s="122"/>
      <c r="K39" s="122"/>
      <c r="L39" s="122"/>
      <c r="M39" s="122"/>
      <c r="N39" s="122"/>
      <c r="O39" s="122"/>
      <c r="P39" s="122"/>
    </row>
  </sheetData>
  <sheetProtection sheet="1" objects="1" scenarios="1" formatColumns="0" formatRows="0"/>
  <mergeCells count="4">
    <mergeCell ref="A1:P1"/>
    <mergeCell ref="A2:P2"/>
    <mergeCell ref="A35:L35"/>
    <mergeCell ref="A39:P39"/>
  </mergeCells>
  <conditionalFormatting sqref="A34:P34">
    <cfRule type="expression" dxfId="0" priority="1">
      <formula>$C34="No"</formula>
    </cfRule>
  </conditionalFormatting>
  <dataValidations count="1">
    <dataValidation type="list" sqref="G5:G34" xr:uid="{00000000-0002-0000-0700-000000000000}">
      <formula1>"Standard hours,Extended hours,24/7"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78"/>
  <sheetViews>
    <sheetView showGridLines="0" workbookViewId="0"/>
  </sheetViews>
  <sheetFormatPr baseColWidth="10" defaultColWidth="8.83203125" defaultRowHeight="14"/>
  <cols>
    <col min="1" max="1" width="17" customWidth="1"/>
    <col min="2" max="2" width="38" customWidth="1"/>
    <col min="3" max="3" width="36" customWidth="1"/>
    <col min="4" max="6" width="22" customWidth="1"/>
    <col min="7" max="7" width="58" customWidth="1"/>
  </cols>
  <sheetData>
    <row r="1" spans="1:7" ht="34" customHeight="1">
      <c r="A1" s="111" t="s">
        <v>33</v>
      </c>
      <c r="B1" s="111"/>
      <c r="C1" s="111"/>
      <c r="D1" s="111"/>
      <c r="E1" s="111"/>
      <c r="F1" s="111"/>
      <c r="G1" s="111"/>
    </row>
    <row r="2" spans="1:7" ht="28" customHeight="1">
      <c r="A2" s="112" t="s">
        <v>374</v>
      </c>
      <c r="B2" s="112"/>
      <c r="C2" s="112"/>
      <c r="D2" s="112"/>
      <c r="E2" s="112"/>
      <c r="F2" s="112"/>
      <c r="G2" s="112"/>
    </row>
    <row r="4" spans="1:7" ht="24" customHeight="1">
      <c r="A4" s="118" t="s">
        <v>375</v>
      </c>
      <c r="B4" s="118"/>
      <c r="C4" s="118"/>
      <c r="D4" s="118"/>
      <c r="E4" s="118"/>
      <c r="F4" s="118"/>
      <c r="G4" s="118"/>
    </row>
    <row r="5" spans="1:7" ht="30" customHeight="1">
      <c r="A5" s="2" t="s">
        <v>108</v>
      </c>
      <c r="B5" s="2" t="s">
        <v>376</v>
      </c>
      <c r="C5" s="2" t="s">
        <v>377</v>
      </c>
      <c r="D5" s="2" t="s">
        <v>378</v>
      </c>
      <c r="E5" s="2" t="s">
        <v>379</v>
      </c>
      <c r="F5" s="2" t="s">
        <v>227</v>
      </c>
      <c r="G5" s="2" t="s">
        <v>380</v>
      </c>
    </row>
    <row r="6" spans="1:7">
      <c r="A6" s="3" t="s">
        <v>213</v>
      </c>
      <c r="B6" s="3" t="str">
        <f>"Adult inpatient — "&amp;'02 Hospice Setup'!$B$20</f>
        <v xml:space="preserve">Adult inpatient — </v>
      </c>
      <c r="C6" s="3" t="s">
        <v>381</v>
      </c>
      <c r="D6" s="3" t="s">
        <v>382</v>
      </c>
      <c r="E6" s="3" t="s">
        <v>383</v>
      </c>
      <c r="F6" s="71" t="str">
        <f>IF('02 Hospice Setup'!$S$20="","",'02 Hospice Setup'!$S$20)</f>
        <v/>
      </c>
      <c r="G6" s="81" t="s">
        <v>384</v>
      </c>
    </row>
    <row r="7" spans="1:7">
      <c r="A7" s="3" t="s">
        <v>213</v>
      </c>
      <c r="B7" s="3" t="str">
        <f>"Adult inpatient — "&amp;'02 Hospice Setup'!$B$20</f>
        <v xml:space="preserve">Adult inpatient — </v>
      </c>
      <c r="C7" s="3" t="s">
        <v>385</v>
      </c>
      <c r="D7" s="3" t="s">
        <v>386</v>
      </c>
      <c r="E7" s="3" t="s">
        <v>383</v>
      </c>
      <c r="F7" s="92"/>
      <c r="G7" s="81"/>
    </row>
    <row r="8" spans="1:7">
      <c r="A8" s="3" t="s">
        <v>213</v>
      </c>
      <c r="B8" s="3" t="str">
        <f>"Adult inpatient — "&amp;'02 Hospice Setup'!$B$20</f>
        <v xml:space="preserve">Adult inpatient — </v>
      </c>
      <c r="C8" s="3" t="s">
        <v>387</v>
      </c>
      <c r="D8" s="3" t="s">
        <v>388</v>
      </c>
      <c r="E8" s="3" t="s">
        <v>389</v>
      </c>
      <c r="F8" s="92"/>
      <c r="G8" s="81"/>
    </row>
    <row r="9" spans="1:7">
      <c r="A9" s="3" t="s">
        <v>214</v>
      </c>
      <c r="B9" s="3" t="str">
        <f>"Adult inpatient — "&amp;'02 Hospice Setup'!$B$21</f>
        <v xml:space="preserve">Adult inpatient — </v>
      </c>
      <c r="C9" s="3" t="s">
        <v>381</v>
      </c>
      <c r="D9" s="3" t="s">
        <v>382</v>
      </c>
      <c r="E9" s="3" t="s">
        <v>383</v>
      </c>
      <c r="F9" s="71" t="str">
        <f>IF('02 Hospice Setup'!$S$21="","",'02 Hospice Setup'!$S$21)</f>
        <v/>
      </c>
      <c r="G9" s="81" t="s">
        <v>384</v>
      </c>
    </row>
    <row r="10" spans="1:7">
      <c r="A10" s="3" t="s">
        <v>214</v>
      </c>
      <c r="B10" s="3" t="str">
        <f>"Adult inpatient — "&amp;'02 Hospice Setup'!$B$21</f>
        <v xml:space="preserve">Adult inpatient — </v>
      </c>
      <c r="C10" s="3" t="s">
        <v>385</v>
      </c>
      <c r="D10" s="3" t="s">
        <v>386</v>
      </c>
      <c r="E10" s="3" t="s">
        <v>383</v>
      </c>
      <c r="F10" s="92"/>
      <c r="G10" s="81"/>
    </row>
    <row r="11" spans="1:7">
      <c r="A11" s="3" t="s">
        <v>214</v>
      </c>
      <c r="B11" s="3" t="str">
        <f>"Adult inpatient — "&amp;'02 Hospice Setup'!$B$21</f>
        <v xml:space="preserve">Adult inpatient — </v>
      </c>
      <c r="C11" s="3" t="s">
        <v>387</v>
      </c>
      <c r="D11" s="3" t="s">
        <v>388</v>
      </c>
      <c r="E11" s="3" t="s">
        <v>389</v>
      </c>
      <c r="F11" s="92"/>
      <c r="G11" s="81"/>
    </row>
    <row r="12" spans="1:7">
      <c r="A12" s="3" t="s">
        <v>215</v>
      </c>
      <c r="B12" s="3" t="str">
        <f>"Adult inpatient — "&amp;'02 Hospice Setup'!$B$22</f>
        <v xml:space="preserve">Adult inpatient — </v>
      </c>
      <c r="C12" s="3" t="s">
        <v>381</v>
      </c>
      <c r="D12" s="3" t="s">
        <v>382</v>
      </c>
      <c r="E12" s="3" t="s">
        <v>383</v>
      </c>
      <c r="F12" s="71" t="str">
        <f>IF('02 Hospice Setup'!$S$22="","",'02 Hospice Setup'!$S$22)</f>
        <v/>
      </c>
      <c r="G12" s="81" t="s">
        <v>384</v>
      </c>
    </row>
    <row r="13" spans="1:7">
      <c r="A13" s="3" t="s">
        <v>215</v>
      </c>
      <c r="B13" s="3" t="str">
        <f>"Adult inpatient — "&amp;'02 Hospice Setup'!$B$22</f>
        <v xml:space="preserve">Adult inpatient — </v>
      </c>
      <c r="C13" s="3" t="s">
        <v>385</v>
      </c>
      <c r="D13" s="3" t="s">
        <v>386</v>
      </c>
      <c r="E13" s="3" t="s">
        <v>383</v>
      </c>
      <c r="F13" s="92"/>
      <c r="G13" s="81"/>
    </row>
    <row r="14" spans="1:7">
      <c r="A14" s="3" t="s">
        <v>215</v>
      </c>
      <c r="B14" s="3" t="str">
        <f>"Adult inpatient — "&amp;'02 Hospice Setup'!$B$22</f>
        <v xml:space="preserve">Adult inpatient — </v>
      </c>
      <c r="C14" s="3" t="s">
        <v>387</v>
      </c>
      <c r="D14" s="3" t="s">
        <v>388</v>
      </c>
      <c r="E14" s="3" t="s">
        <v>389</v>
      </c>
      <c r="F14" s="92"/>
      <c r="G14" s="81"/>
    </row>
    <row r="15" spans="1:7">
      <c r="A15" s="3" t="s">
        <v>117</v>
      </c>
      <c r="B15" s="3" t="s">
        <v>119</v>
      </c>
      <c r="C15" s="3" t="s">
        <v>390</v>
      </c>
      <c r="D15" s="3" t="s">
        <v>391</v>
      </c>
      <c r="E15" s="3" t="s">
        <v>392</v>
      </c>
      <c r="F15" s="92"/>
      <c r="G15" s="81" t="s">
        <v>393</v>
      </c>
    </row>
    <row r="16" spans="1:7">
      <c r="A16" s="3" t="s">
        <v>117</v>
      </c>
      <c r="B16" s="3" t="s">
        <v>119</v>
      </c>
      <c r="C16" s="3" t="s">
        <v>394</v>
      </c>
      <c r="D16" s="3" t="s">
        <v>386</v>
      </c>
      <c r="E16" s="3" t="s">
        <v>392</v>
      </c>
      <c r="F16" s="92"/>
      <c r="G16" s="81"/>
    </row>
    <row r="17" spans="1:7">
      <c r="A17" s="3" t="s">
        <v>120</v>
      </c>
      <c r="B17" s="3" t="s">
        <v>121</v>
      </c>
      <c r="C17" s="3" t="s">
        <v>395</v>
      </c>
      <c r="D17" s="3" t="s">
        <v>386</v>
      </c>
      <c r="E17" s="3" t="s">
        <v>396</v>
      </c>
      <c r="F17" s="92"/>
      <c r="G17" s="81"/>
    </row>
    <row r="18" spans="1:7">
      <c r="A18" s="3" t="s">
        <v>125</v>
      </c>
      <c r="B18" s="3" t="s">
        <v>126</v>
      </c>
      <c r="C18" s="3" t="s">
        <v>395</v>
      </c>
      <c r="D18" s="3" t="s">
        <v>386</v>
      </c>
      <c r="E18" s="3" t="s">
        <v>396</v>
      </c>
      <c r="F18" s="92"/>
      <c r="G18" s="81"/>
    </row>
    <row r="19" spans="1:7">
      <c r="A19" s="3" t="s">
        <v>127</v>
      </c>
      <c r="B19" s="3" t="s">
        <v>128</v>
      </c>
      <c r="C19" s="3" t="s">
        <v>397</v>
      </c>
      <c r="D19" s="3" t="s">
        <v>382</v>
      </c>
      <c r="E19" s="3" t="s">
        <v>398</v>
      </c>
      <c r="F19" s="94"/>
      <c r="G19" s="81"/>
    </row>
    <row r="20" spans="1:7">
      <c r="A20" s="3" t="s">
        <v>127</v>
      </c>
      <c r="B20" s="3" t="s">
        <v>128</v>
      </c>
      <c r="C20" s="3" t="s">
        <v>399</v>
      </c>
      <c r="D20" s="3" t="s">
        <v>386</v>
      </c>
      <c r="E20" s="3" t="s">
        <v>398</v>
      </c>
      <c r="F20" s="94"/>
      <c r="G20" s="81"/>
    </row>
    <row r="21" spans="1:7">
      <c r="A21" s="3" t="s">
        <v>129</v>
      </c>
      <c r="B21" s="3" t="s">
        <v>131</v>
      </c>
      <c r="C21" s="3" t="s">
        <v>397</v>
      </c>
      <c r="D21" s="3" t="s">
        <v>382</v>
      </c>
      <c r="E21" s="3" t="s">
        <v>398</v>
      </c>
      <c r="F21" s="94"/>
      <c r="G21" s="81"/>
    </row>
    <row r="22" spans="1:7">
      <c r="A22" s="3" t="s">
        <v>129</v>
      </c>
      <c r="B22" s="3" t="s">
        <v>131</v>
      </c>
      <c r="C22" s="3" t="s">
        <v>400</v>
      </c>
      <c r="D22" s="3" t="s">
        <v>386</v>
      </c>
      <c r="E22" s="3" t="s">
        <v>398</v>
      </c>
      <c r="F22" s="94"/>
      <c r="G22" s="81"/>
    </row>
    <row r="23" spans="1:7">
      <c r="A23" s="3" t="s">
        <v>132</v>
      </c>
      <c r="B23" s="3" t="s">
        <v>133</v>
      </c>
      <c r="C23" s="3" t="s">
        <v>395</v>
      </c>
      <c r="D23" s="3" t="s">
        <v>386</v>
      </c>
      <c r="E23" s="3" t="s">
        <v>396</v>
      </c>
      <c r="F23" s="92"/>
      <c r="G23" s="81"/>
    </row>
    <row r="24" spans="1:7">
      <c r="A24" s="3" t="s">
        <v>134</v>
      </c>
      <c r="B24" s="3" t="s">
        <v>135</v>
      </c>
      <c r="C24" s="3" t="s">
        <v>397</v>
      </c>
      <c r="D24" s="3" t="s">
        <v>382</v>
      </c>
      <c r="E24" s="3" t="s">
        <v>398</v>
      </c>
      <c r="F24" s="94"/>
      <c r="G24" s="81"/>
    </row>
    <row r="25" spans="1:7">
      <c r="A25" s="3" t="s">
        <v>134</v>
      </c>
      <c r="B25" s="3" t="s">
        <v>135</v>
      </c>
      <c r="C25" s="3" t="s">
        <v>400</v>
      </c>
      <c r="D25" s="3" t="s">
        <v>386</v>
      </c>
      <c r="E25" s="3" t="s">
        <v>398</v>
      </c>
      <c r="F25" s="94"/>
      <c r="G25" s="81"/>
    </row>
    <row r="26" spans="1:7">
      <c r="A26" s="3" t="s">
        <v>136</v>
      </c>
      <c r="B26" s="3" t="s">
        <v>137</v>
      </c>
      <c r="C26" s="3" t="s">
        <v>401</v>
      </c>
      <c r="D26" s="3" t="s">
        <v>382</v>
      </c>
      <c r="E26" s="3" t="s">
        <v>392</v>
      </c>
      <c r="F26" s="92"/>
      <c r="G26" s="81"/>
    </row>
    <row r="27" spans="1:7">
      <c r="A27" s="3" t="s">
        <v>136</v>
      </c>
      <c r="B27" s="3" t="s">
        <v>137</v>
      </c>
      <c r="C27" s="3" t="s">
        <v>394</v>
      </c>
      <c r="D27" s="3" t="s">
        <v>386</v>
      </c>
      <c r="E27" s="3" t="s">
        <v>392</v>
      </c>
      <c r="F27" s="92"/>
      <c r="G27" s="81"/>
    </row>
    <row r="28" spans="1:7">
      <c r="A28" s="3" t="s">
        <v>138</v>
      </c>
      <c r="B28" s="3" t="s">
        <v>140</v>
      </c>
      <c r="C28" s="3" t="s">
        <v>402</v>
      </c>
      <c r="D28" s="3" t="s">
        <v>386</v>
      </c>
      <c r="E28" s="3" t="s">
        <v>403</v>
      </c>
      <c r="F28" s="92"/>
      <c r="G28" s="81"/>
    </row>
    <row r="29" spans="1:7">
      <c r="A29" s="3" t="s">
        <v>141</v>
      </c>
      <c r="B29" s="3" t="s">
        <v>142</v>
      </c>
      <c r="C29" s="3" t="s">
        <v>402</v>
      </c>
      <c r="D29" s="3" t="s">
        <v>386</v>
      </c>
      <c r="E29" s="3" t="s">
        <v>403</v>
      </c>
      <c r="F29" s="92"/>
      <c r="G29" s="81"/>
    </row>
    <row r="30" spans="1:7">
      <c r="A30" s="3" t="s">
        <v>143</v>
      </c>
      <c r="B30" s="3" t="s">
        <v>144</v>
      </c>
      <c r="C30" s="3" t="s">
        <v>404</v>
      </c>
      <c r="D30" s="3" t="s">
        <v>382</v>
      </c>
      <c r="E30" s="3" t="s">
        <v>405</v>
      </c>
      <c r="F30" s="92"/>
      <c r="G30" s="81"/>
    </row>
    <row r="31" spans="1:7">
      <c r="A31" s="3" t="s">
        <v>143</v>
      </c>
      <c r="B31" s="3" t="s">
        <v>144</v>
      </c>
      <c r="C31" s="3" t="s">
        <v>406</v>
      </c>
      <c r="D31" s="3" t="s">
        <v>386</v>
      </c>
      <c r="E31" s="3" t="s">
        <v>407</v>
      </c>
      <c r="F31" s="92"/>
      <c r="G31" s="81"/>
    </row>
    <row r="32" spans="1:7">
      <c r="A32" s="3" t="s">
        <v>145</v>
      </c>
      <c r="B32" s="3" t="s">
        <v>408</v>
      </c>
      <c r="C32" s="3" t="s">
        <v>409</v>
      </c>
      <c r="D32" s="3" t="s">
        <v>382</v>
      </c>
      <c r="E32" s="3" t="s">
        <v>410</v>
      </c>
      <c r="F32" s="92"/>
      <c r="G32" s="81"/>
    </row>
    <row r="33" spans="1:7" ht="60" customHeight="1">
      <c r="A33" s="3" t="s">
        <v>145</v>
      </c>
      <c r="B33" s="3" t="s">
        <v>408</v>
      </c>
      <c r="C33" s="3" t="s">
        <v>411</v>
      </c>
      <c r="D33" s="3" t="s">
        <v>386</v>
      </c>
      <c r="E33" s="3" t="s">
        <v>410</v>
      </c>
      <c r="F33" s="92"/>
      <c r="G33" s="110" t="s">
        <v>412</v>
      </c>
    </row>
    <row r="34" spans="1:7">
      <c r="A34" s="3" t="s">
        <v>149</v>
      </c>
      <c r="B34" s="3" t="s">
        <v>413</v>
      </c>
      <c r="C34" s="3" t="s">
        <v>414</v>
      </c>
      <c r="D34" s="3" t="s">
        <v>386</v>
      </c>
      <c r="E34" s="3" t="s">
        <v>396</v>
      </c>
      <c r="F34" s="92"/>
      <c r="G34" s="81"/>
    </row>
    <row r="35" spans="1:7">
      <c r="A35" s="3" t="s">
        <v>151</v>
      </c>
      <c r="B35" s="3" t="s">
        <v>415</v>
      </c>
      <c r="C35" s="3" t="s">
        <v>414</v>
      </c>
      <c r="D35" s="3" t="s">
        <v>386</v>
      </c>
      <c r="E35" s="3" t="s">
        <v>396</v>
      </c>
      <c r="F35" s="92"/>
      <c r="G35" s="81"/>
    </row>
    <row r="36" spans="1:7" ht="60" customHeight="1">
      <c r="A36" s="3" t="s">
        <v>153</v>
      </c>
      <c r="B36" s="3" t="s">
        <v>416</v>
      </c>
      <c r="C36" s="3" t="s">
        <v>417</v>
      </c>
      <c r="D36" s="3" t="s">
        <v>382</v>
      </c>
      <c r="E36" s="3" t="s">
        <v>410</v>
      </c>
      <c r="F36" s="92"/>
      <c r="G36" s="110" t="s">
        <v>418</v>
      </c>
    </row>
    <row r="37" spans="1:7" ht="60" customHeight="1">
      <c r="A37" s="3" t="s">
        <v>153</v>
      </c>
      <c r="B37" s="3" t="s">
        <v>416</v>
      </c>
      <c r="C37" s="3" t="s">
        <v>411</v>
      </c>
      <c r="D37" s="3" t="s">
        <v>386</v>
      </c>
      <c r="E37" s="3" t="s">
        <v>410</v>
      </c>
      <c r="F37" s="92"/>
      <c r="G37" s="110" t="s">
        <v>412</v>
      </c>
    </row>
    <row r="38" spans="1:7">
      <c r="A38" s="3" t="s">
        <v>155</v>
      </c>
      <c r="B38" s="3" t="s">
        <v>419</v>
      </c>
      <c r="C38" s="3" t="s">
        <v>395</v>
      </c>
      <c r="D38" s="3" t="s">
        <v>386</v>
      </c>
      <c r="E38" s="3" t="s">
        <v>396</v>
      </c>
      <c r="F38" s="92"/>
      <c r="G38" s="81"/>
    </row>
    <row r="39" spans="1:7">
      <c r="A39" s="3" t="s">
        <v>156</v>
      </c>
      <c r="B39" s="3" t="s">
        <v>420</v>
      </c>
      <c r="C39" s="3" t="s">
        <v>401</v>
      </c>
      <c r="D39" s="3" t="s">
        <v>382</v>
      </c>
      <c r="E39" s="3" t="s">
        <v>392</v>
      </c>
      <c r="F39" s="92"/>
      <c r="G39" s="81"/>
    </row>
    <row r="40" spans="1:7">
      <c r="A40" s="3" t="s">
        <v>156</v>
      </c>
      <c r="B40" s="3" t="s">
        <v>420</v>
      </c>
      <c r="C40" s="3" t="s">
        <v>394</v>
      </c>
      <c r="D40" s="3" t="s">
        <v>386</v>
      </c>
      <c r="E40" s="3" t="s">
        <v>392</v>
      </c>
      <c r="F40" s="92"/>
      <c r="G40" s="81"/>
    </row>
    <row r="41" spans="1:7">
      <c r="A41" s="3" t="s">
        <v>158</v>
      </c>
      <c r="B41" s="3" t="s">
        <v>421</v>
      </c>
      <c r="C41" s="3" t="s">
        <v>402</v>
      </c>
      <c r="D41" s="3" t="s">
        <v>386</v>
      </c>
      <c r="E41" s="3" t="s">
        <v>403</v>
      </c>
      <c r="F41" s="92"/>
      <c r="G41" s="81"/>
    </row>
    <row r="42" spans="1:7">
      <c r="A42" s="3" t="s">
        <v>160</v>
      </c>
      <c r="B42" s="3" t="s">
        <v>422</v>
      </c>
      <c r="C42" s="3" t="s">
        <v>402</v>
      </c>
      <c r="D42" s="3" t="s">
        <v>386</v>
      </c>
      <c r="E42" s="3" t="s">
        <v>403</v>
      </c>
      <c r="F42" s="92"/>
      <c r="G42" s="81"/>
    </row>
    <row r="43" spans="1:7">
      <c r="A43" s="3" t="s">
        <v>162</v>
      </c>
      <c r="B43" s="3" t="s">
        <v>423</v>
      </c>
      <c r="C43" s="3" t="s">
        <v>404</v>
      </c>
      <c r="D43" s="3" t="s">
        <v>382</v>
      </c>
      <c r="E43" s="3" t="s">
        <v>405</v>
      </c>
      <c r="F43" s="92"/>
      <c r="G43" s="81"/>
    </row>
    <row r="44" spans="1:7">
      <c r="A44" s="3" t="s">
        <v>162</v>
      </c>
      <c r="B44" s="3" t="s">
        <v>423</v>
      </c>
      <c r="C44" s="3" t="s">
        <v>406</v>
      </c>
      <c r="D44" s="3" t="s">
        <v>386</v>
      </c>
      <c r="E44" s="3" t="s">
        <v>407</v>
      </c>
      <c r="F44" s="92"/>
      <c r="G44" s="81"/>
    </row>
    <row r="45" spans="1:7">
      <c r="F45" s="45"/>
    </row>
    <row r="46" spans="1:7" ht="24" customHeight="1">
      <c r="A46" s="118" t="s">
        <v>424</v>
      </c>
      <c r="B46" s="118"/>
      <c r="C46" s="118"/>
      <c r="D46" s="118"/>
      <c r="E46" s="118"/>
      <c r="F46" s="123"/>
      <c r="G46" s="118"/>
    </row>
    <row r="47" spans="1:7">
      <c r="A47" s="124" t="s">
        <v>425</v>
      </c>
      <c r="B47" s="124"/>
      <c r="C47" s="124"/>
      <c r="D47" s="124"/>
      <c r="E47" s="124"/>
      <c r="F47" s="125"/>
      <c r="G47" s="124"/>
    </row>
    <row r="48" spans="1:7">
      <c r="A48" s="124"/>
      <c r="B48" s="124"/>
      <c r="C48" s="124"/>
      <c r="D48" s="124"/>
      <c r="E48" s="124"/>
      <c r="F48" s="125"/>
      <c r="G48" s="124"/>
    </row>
    <row r="49" spans="1:7" ht="30" customHeight="1">
      <c r="A49" s="2" t="s">
        <v>108</v>
      </c>
      <c r="B49" s="2" t="s">
        <v>376</v>
      </c>
      <c r="C49" s="2" t="s">
        <v>377</v>
      </c>
      <c r="D49" s="2" t="s">
        <v>378</v>
      </c>
      <c r="E49" s="2" t="s">
        <v>379</v>
      </c>
      <c r="F49" s="46" t="s">
        <v>227</v>
      </c>
      <c r="G49" s="2" t="s">
        <v>380</v>
      </c>
    </row>
    <row r="50" spans="1:7">
      <c r="A50" s="9" t="s">
        <v>117</v>
      </c>
      <c r="B50" s="9" t="s">
        <v>119</v>
      </c>
      <c r="C50" s="9" t="s">
        <v>426</v>
      </c>
      <c r="D50" s="9" t="s">
        <v>388</v>
      </c>
      <c r="E50" s="9" t="s">
        <v>427</v>
      </c>
      <c r="F50" s="102"/>
      <c r="G50" s="103"/>
    </row>
    <row r="51" spans="1:7">
      <c r="A51" s="9" t="s">
        <v>120</v>
      </c>
      <c r="B51" s="9" t="s">
        <v>121</v>
      </c>
      <c r="C51" s="9" t="s">
        <v>426</v>
      </c>
      <c r="D51" s="9" t="s">
        <v>388</v>
      </c>
      <c r="E51" s="9" t="s">
        <v>427</v>
      </c>
      <c r="F51" s="102"/>
      <c r="G51" s="103"/>
    </row>
    <row r="52" spans="1:7">
      <c r="A52" s="9" t="s">
        <v>125</v>
      </c>
      <c r="B52" s="9" t="s">
        <v>126</v>
      </c>
      <c r="C52" s="9" t="s">
        <v>426</v>
      </c>
      <c r="D52" s="9" t="s">
        <v>388</v>
      </c>
      <c r="E52" s="9" t="s">
        <v>427</v>
      </c>
      <c r="F52" s="102"/>
      <c r="G52" s="103"/>
    </row>
    <row r="53" spans="1:7">
      <c r="A53" s="9" t="s">
        <v>127</v>
      </c>
      <c r="B53" s="9" t="s">
        <v>128</v>
      </c>
      <c r="C53" s="9" t="s">
        <v>426</v>
      </c>
      <c r="D53" s="9" t="s">
        <v>388</v>
      </c>
      <c r="E53" s="9" t="s">
        <v>427</v>
      </c>
      <c r="F53" s="102"/>
      <c r="G53" s="103"/>
    </row>
    <row r="54" spans="1:7">
      <c r="A54" s="9" t="s">
        <v>129</v>
      </c>
      <c r="B54" s="9" t="s">
        <v>131</v>
      </c>
      <c r="C54" s="9" t="s">
        <v>426</v>
      </c>
      <c r="D54" s="9" t="s">
        <v>388</v>
      </c>
      <c r="E54" s="9" t="s">
        <v>427</v>
      </c>
      <c r="F54" s="102"/>
      <c r="G54" s="103"/>
    </row>
    <row r="55" spans="1:7">
      <c r="A55" s="9" t="s">
        <v>132</v>
      </c>
      <c r="B55" s="9" t="s">
        <v>133</v>
      </c>
      <c r="C55" s="9" t="s">
        <v>426</v>
      </c>
      <c r="D55" s="9" t="s">
        <v>388</v>
      </c>
      <c r="E55" s="9" t="s">
        <v>427</v>
      </c>
      <c r="F55" s="102"/>
      <c r="G55" s="103"/>
    </row>
    <row r="56" spans="1:7">
      <c r="A56" s="9" t="s">
        <v>134</v>
      </c>
      <c r="B56" s="9" t="s">
        <v>135</v>
      </c>
      <c r="C56" s="9" t="s">
        <v>426</v>
      </c>
      <c r="D56" s="9" t="s">
        <v>388</v>
      </c>
      <c r="E56" s="9" t="s">
        <v>427</v>
      </c>
      <c r="F56" s="102"/>
      <c r="G56" s="103"/>
    </row>
    <row r="57" spans="1:7">
      <c r="A57" s="9" t="s">
        <v>136</v>
      </c>
      <c r="B57" s="9" t="s">
        <v>137</v>
      </c>
      <c r="C57" s="9" t="s">
        <v>426</v>
      </c>
      <c r="D57" s="9" t="s">
        <v>388</v>
      </c>
      <c r="E57" s="9" t="s">
        <v>427</v>
      </c>
      <c r="F57" s="102"/>
      <c r="G57" s="103"/>
    </row>
    <row r="58" spans="1:7">
      <c r="A58" s="9" t="s">
        <v>138</v>
      </c>
      <c r="B58" s="9" t="s">
        <v>140</v>
      </c>
      <c r="C58" s="9" t="s">
        <v>426</v>
      </c>
      <c r="D58" s="9" t="s">
        <v>388</v>
      </c>
      <c r="E58" s="9" t="s">
        <v>427</v>
      </c>
      <c r="F58" s="102"/>
      <c r="G58" s="103"/>
    </row>
    <row r="59" spans="1:7">
      <c r="A59" s="9" t="s">
        <v>141</v>
      </c>
      <c r="B59" s="9" t="s">
        <v>142</v>
      </c>
      <c r="C59" s="9" t="s">
        <v>426</v>
      </c>
      <c r="D59" s="9" t="s">
        <v>388</v>
      </c>
      <c r="E59" s="9" t="s">
        <v>427</v>
      </c>
      <c r="F59" s="102"/>
      <c r="G59" s="103"/>
    </row>
    <row r="60" spans="1:7">
      <c r="A60" s="9" t="s">
        <v>143</v>
      </c>
      <c r="B60" s="9" t="s">
        <v>144</v>
      </c>
      <c r="C60" s="9" t="s">
        <v>426</v>
      </c>
      <c r="D60" s="9" t="s">
        <v>388</v>
      </c>
      <c r="E60" s="9" t="s">
        <v>427</v>
      </c>
      <c r="F60" s="102"/>
      <c r="G60" s="103"/>
    </row>
    <row r="61" spans="1:7">
      <c r="A61" s="9" t="s">
        <v>145</v>
      </c>
      <c r="B61" s="9" t="s">
        <v>148</v>
      </c>
      <c r="C61" s="9" t="s">
        <v>426</v>
      </c>
      <c r="D61" s="9" t="s">
        <v>388</v>
      </c>
      <c r="E61" s="9" t="s">
        <v>427</v>
      </c>
      <c r="F61" s="102"/>
      <c r="G61" s="103"/>
    </row>
    <row r="62" spans="1:7">
      <c r="A62" s="9" t="s">
        <v>149</v>
      </c>
      <c r="B62" s="9" t="s">
        <v>150</v>
      </c>
      <c r="C62" s="9" t="s">
        <v>426</v>
      </c>
      <c r="D62" s="9" t="s">
        <v>388</v>
      </c>
      <c r="E62" s="9" t="s">
        <v>427</v>
      </c>
      <c r="F62" s="102"/>
      <c r="G62" s="103"/>
    </row>
    <row r="63" spans="1:7">
      <c r="A63" s="9" t="s">
        <v>151</v>
      </c>
      <c r="B63" s="9" t="s">
        <v>152</v>
      </c>
      <c r="C63" s="9" t="s">
        <v>426</v>
      </c>
      <c r="D63" s="9" t="s">
        <v>388</v>
      </c>
      <c r="E63" s="9" t="s">
        <v>427</v>
      </c>
      <c r="F63" s="102"/>
      <c r="G63" s="103"/>
    </row>
    <row r="64" spans="1:7">
      <c r="A64" s="9" t="s">
        <v>153</v>
      </c>
      <c r="B64" s="9" t="s">
        <v>154</v>
      </c>
      <c r="C64" s="9" t="s">
        <v>426</v>
      </c>
      <c r="D64" s="9" t="s">
        <v>388</v>
      </c>
      <c r="E64" s="9" t="s">
        <v>427</v>
      </c>
      <c r="F64" s="102"/>
      <c r="G64" s="103"/>
    </row>
    <row r="65" spans="1:7">
      <c r="A65" s="9" t="s">
        <v>155</v>
      </c>
      <c r="B65" s="9" t="s">
        <v>121</v>
      </c>
      <c r="C65" s="9" t="s">
        <v>426</v>
      </c>
      <c r="D65" s="9" t="s">
        <v>388</v>
      </c>
      <c r="E65" s="9" t="s">
        <v>427</v>
      </c>
      <c r="F65" s="102"/>
      <c r="G65" s="103"/>
    </row>
    <row r="66" spans="1:7">
      <c r="A66" s="9" t="s">
        <v>156</v>
      </c>
      <c r="B66" s="9" t="s">
        <v>157</v>
      </c>
      <c r="C66" s="9" t="s">
        <v>426</v>
      </c>
      <c r="D66" s="9" t="s">
        <v>388</v>
      </c>
      <c r="E66" s="9" t="s">
        <v>427</v>
      </c>
      <c r="F66" s="102"/>
      <c r="G66" s="103"/>
    </row>
    <row r="67" spans="1:7">
      <c r="A67" s="9" t="s">
        <v>158</v>
      </c>
      <c r="B67" s="9" t="s">
        <v>159</v>
      </c>
      <c r="C67" s="9" t="s">
        <v>426</v>
      </c>
      <c r="D67" s="9" t="s">
        <v>388</v>
      </c>
      <c r="E67" s="9" t="s">
        <v>427</v>
      </c>
      <c r="F67" s="102"/>
      <c r="G67" s="103"/>
    </row>
    <row r="68" spans="1:7">
      <c r="A68" s="9" t="s">
        <v>160</v>
      </c>
      <c r="B68" s="9" t="s">
        <v>161</v>
      </c>
      <c r="C68" s="9" t="s">
        <v>426</v>
      </c>
      <c r="D68" s="9" t="s">
        <v>388</v>
      </c>
      <c r="E68" s="9" t="s">
        <v>427</v>
      </c>
      <c r="F68" s="102"/>
      <c r="G68" s="103"/>
    </row>
    <row r="69" spans="1:7">
      <c r="A69" s="9" t="s">
        <v>162</v>
      </c>
      <c r="B69" s="9" t="s">
        <v>163</v>
      </c>
      <c r="C69" s="9" t="s">
        <v>426</v>
      </c>
      <c r="D69" s="9" t="s">
        <v>388</v>
      </c>
      <c r="E69" s="9" t="s">
        <v>427</v>
      </c>
      <c r="F69" s="102"/>
      <c r="G69" s="103"/>
    </row>
    <row r="70" spans="1:7">
      <c r="F70" s="45"/>
    </row>
    <row r="71" spans="1:7" ht="42" customHeight="1">
      <c r="A71" s="23" t="s">
        <v>108</v>
      </c>
      <c r="B71" s="23" t="s">
        <v>376</v>
      </c>
      <c r="C71" s="23" t="s">
        <v>377</v>
      </c>
      <c r="D71" s="23" t="s">
        <v>378</v>
      </c>
      <c r="E71" s="23" t="s">
        <v>379</v>
      </c>
      <c r="F71" s="47" t="s">
        <v>227</v>
      </c>
      <c r="G71" s="23" t="s">
        <v>380</v>
      </c>
    </row>
    <row r="72" spans="1:7" ht="48" customHeight="1">
      <c r="A72" s="22" t="s">
        <v>122</v>
      </c>
      <c r="B72" s="22" t="s">
        <v>124</v>
      </c>
      <c r="C72" s="22" t="s">
        <v>397</v>
      </c>
      <c r="D72" s="22" t="s">
        <v>382</v>
      </c>
      <c r="E72" s="22" t="s">
        <v>398</v>
      </c>
      <c r="F72" s="99"/>
      <c r="G72" s="98" t="s">
        <v>428</v>
      </c>
    </row>
    <row r="73" spans="1:7" ht="48" customHeight="1">
      <c r="A73" s="22" t="s">
        <v>122</v>
      </c>
      <c r="B73" s="22" t="s">
        <v>124</v>
      </c>
      <c r="C73" s="22" t="s">
        <v>399</v>
      </c>
      <c r="D73" s="22" t="s">
        <v>386</v>
      </c>
      <c r="E73" s="22" t="s">
        <v>398</v>
      </c>
      <c r="F73" s="99"/>
      <c r="G73" s="98"/>
    </row>
    <row r="74" spans="1:7" ht="48" customHeight="1">
      <c r="A74" s="22" t="s">
        <v>122</v>
      </c>
      <c r="B74" s="22" t="s">
        <v>124</v>
      </c>
      <c r="C74" s="22" t="s">
        <v>426</v>
      </c>
      <c r="D74" s="22" t="s">
        <v>388</v>
      </c>
      <c r="E74" s="22" t="s">
        <v>427</v>
      </c>
      <c r="F74" s="104"/>
      <c r="G74" s="105" t="s">
        <v>429</v>
      </c>
    </row>
    <row r="76" spans="1:7" ht="58" customHeight="1">
      <c r="A76" s="113" t="s">
        <v>430</v>
      </c>
      <c r="B76" s="113"/>
      <c r="C76" s="113"/>
      <c r="D76" s="113"/>
      <c r="E76" s="113"/>
      <c r="F76" s="113"/>
      <c r="G76" s="113"/>
    </row>
    <row r="78" spans="1:7" ht="58" customHeight="1">
      <c r="A78" s="113" t="s">
        <v>431</v>
      </c>
      <c r="B78" s="113"/>
      <c r="C78" s="113"/>
      <c r="D78" s="113"/>
      <c r="E78" s="113"/>
      <c r="F78" s="113"/>
      <c r="G78" s="113"/>
    </row>
  </sheetData>
  <sheetProtection sheet="1" objects="1" scenarios="1" formatColumns="0" formatRows="0"/>
  <mergeCells count="7">
    <mergeCell ref="A76:G76"/>
    <mergeCell ref="A78:G78"/>
    <mergeCell ref="A1:G1"/>
    <mergeCell ref="A2:G2"/>
    <mergeCell ref="A4:G4"/>
    <mergeCell ref="A46:G46"/>
    <mergeCell ref="A47:G48"/>
  </mergeCells>
  <dataValidations count="1">
    <dataValidation type="decimal" operator="greaterThanOrEqual" sqref="F72:F74" xr:uid="{00000000-0002-0000-0800-000000000000}">
      <formula1>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8"/>
  <sheetViews>
    <sheetView showGridLines="0" workbookViewId="0"/>
  </sheetViews>
  <sheetFormatPr baseColWidth="10" defaultColWidth="8.83203125" defaultRowHeight="14"/>
  <cols>
    <col min="1" max="1" width="17" customWidth="1"/>
    <col min="2" max="2" width="35" customWidth="1"/>
    <col min="3" max="3" width="36" customWidth="1"/>
    <col min="4" max="8" width="22" customWidth="1"/>
    <col min="9" max="9" width="18" customWidth="1"/>
    <col min="10" max="10" width="21" customWidth="1"/>
    <col min="11" max="11" width="24" customWidth="1"/>
    <col min="12" max="13" width="30" customWidth="1"/>
    <col min="14" max="14" width="36" customWidth="1"/>
    <col min="15" max="15" width="28" customWidth="1"/>
    <col min="16" max="16" width="32" customWidth="1"/>
  </cols>
  <sheetData>
    <row r="1" spans="1:16" ht="34" customHeight="1">
      <c r="A1" s="111" t="s">
        <v>35</v>
      </c>
      <c r="B1" s="111"/>
      <c r="C1" s="111"/>
      <c r="D1" s="111"/>
      <c r="E1" s="111"/>
      <c r="F1" s="111"/>
      <c r="G1" s="111"/>
      <c r="H1" s="111"/>
      <c r="I1" s="111"/>
      <c r="J1" s="111"/>
      <c r="K1" s="111"/>
      <c r="L1" s="111"/>
      <c r="M1" s="111"/>
      <c r="N1" s="111"/>
      <c r="O1" s="111"/>
      <c r="P1" s="111"/>
    </row>
    <row r="2" spans="1:16" ht="28" customHeight="1">
      <c r="A2" s="112" t="s">
        <v>432</v>
      </c>
      <c r="B2" s="112"/>
      <c r="C2" s="112"/>
      <c r="D2" s="112"/>
      <c r="E2" s="112"/>
      <c r="F2" s="112"/>
      <c r="G2" s="112"/>
      <c r="H2" s="112"/>
      <c r="I2" s="112"/>
      <c r="J2" s="112"/>
      <c r="K2" s="112"/>
      <c r="L2" s="112"/>
      <c r="M2" s="112"/>
      <c r="N2" s="112"/>
      <c r="O2" s="112"/>
      <c r="P2" s="112"/>
    </row>
    <row r="4" spans="1:16" ht="24" customHeight="1">
      <c r="A4" s="118" t="s">
        <v>433</v>
      </c>
      <c r="B4" s="118"/>
      <c r="C4" s="118"/>
      <c r="D4" s="118"/>
      <c r="E4" s="118"/>
      <c r="F4" s="118"/>
      <c r="G4" s="118"/>
      <c r="H4" s="118"/>
      <c r="I4" s="118"/>
      <c r="J4" s="118"/>
      <c r="K4" s="118"/>
      <c r="L4" s="118"/>
      <c r="M4" s="118"/>
      <c r="N4" s="118"/>
      <c r="O4" s="118"/>
      <c r="P4" s="118"/>
    </row>
    <row r="5" spans="1:16" ht="58" customHeight="1">
      <c r="A5" s="124" t="s">
        <v>434</v>
      </c>
      <c r="B5" s="124"/>
      <c r="C5" s="124"/>
      <c r="D5" s="124"/>
      <c r="E5" s="124"/>
      <c r="F5" s="124"/>
      <c r="G5" s="124"/>
      <c r="H5" s="124"/>
      <c r="I5" s="124"/>
      <c r="J5" s="124"/>
      <c r="K5" s="124"/>
      <c r="L5" s="124"/>
      <c r="M5" s="124"/>
      <c r="N5" s="124"/>
      <c r="O5" s="124"/>
      <c r="P5" s="124"/>
    </row>
    <row r="6" spans="1:16">
      <c r="A6" s="124"/>
      <c r="B6" s="124"/>
      <c r="C6" s="124"/>
      <c r="D6" s="124"/>
      <c r="E6" s="124"/>
      <c r="F6" s="124"/>
      <c r="G6" s="124"/>
      <c r="H6" s="124"/>
      <c r="I6" s="124"/>
      <c r="J6" s="124"/>
      <c r="K6" s="124"/>
      <c r="L6" s="124"/>
      <c r="M6" s="124"/>
      <c r="N6" s="124"/>
      <c r="O6" s="124"/>
      <c r="P6" s="124"/>
    </row>
    <row r="8" spans="1:16" ht="24" customHeight="1">
      <c r="A8" s="118" t="s">
        <v>435</v>
      </c>
      <c r="B8" s="118"/>
      <c r="C8" s="118"/>
      <c r="D8" s="118"/>
      <c r="E8" s="118"/>
      <c r="F8" s="118"/>
      <c r="G8" s="118"/>
      <c r="H8" s="118"/>
      <c r="I8" s="118"/>
      <c r="J8" s="118"/>
    </row>
    <row r="9" spans="1:16">
      <c r="A9" s="124" t="s">
        <v>436</v>
      </c>
      <c r="B9" s="124"/>
      <c r="C9" s="124"/>
      <c r="D9" s="124"/>
      <c r="E9" s="124"/>
      <c r="F9" s="124"/>
      <c r="G9" s="124"/>
      <c r="H9" s="124"/>
      <c r="I9" s="124"/>
      <c r="J9" s="124"/>
    </row>
    <row r="10" spans="1:16">
      <c r="A10" s="124"/>
      <c r="B10" s="124"/>
      <c r="C10" s="124"/>
      <c r="D10" s="124"/>
      <c r="E10" s="124"/>
      <c r="F10" s="124"/>
      <c r="G10" s="124"/>
      <c r="H10" s="124"/>
      <c r="I10" s="124"/>
      <c r="J10" s="124"/>
    </row>
    <row r="11" spans="1:16" ht="30" customHeight="1">
      <c r="A11" s="2" t="s">
        <v>437</v>
      </c>
      <c r="B11" s="2" t="s">
        <v>368</v>
      </c>
      <c r="C11" s="2" t="s">
        <v>438</v>
      </c>
      <c r="D11" s="2" t="s">
        <v>439</v>
      </c>
      <c r="E11" s="2" t="s">
        <v>440</v>
      </c>
      <c r="F11" s="2" t="s">
        <v>441</v>
      </c>
      <c r="G11" s="2" t="s">
        <v>442</v>
      </c>
      <c r="H11" s="2" t="s">
        <v>443</v>
      </c>
      <c r="I11" s="2" t="s">
        <v>71</v>
      </c>
      <c r="J11" s="2" t="s">
        <v>380</v>
      </c>
    </row>
    <row r="12" spans="1:16">
      <c r="A12" s="9" t="s">
        <v>213</v>
      </c>
      <c r="B12" s="9" t="str">
        <f>IF('02 Hospice Setup'!$B$20="","",'02 Hospice Setup'!$B$20)</f>
        <v/>
      </c>
      <c r="C12" s="44">
        <f>SUMIFS('09 Core Activity &amp; Capacity'!$F$6:$F$44,'09 Core Activity &amp; Capacity'!$A$6:$A$44,A12,'09 Core Activity &amp; Capacity'!$D$6:$D$44,"Activity")</f>
        <v>0</v>
      </c>
      <c r="D12" s="102"/>
      <c r="E12" s="102"/>
      <c r="F12" s="102"/>
      <c r="G12" s="44" t="str">
        <f>IF(COUNT(D12:F12)=0,"",SUM(D12:F12))</f>
        <v/>
      </c>
      <c r="H12" s="44" t="str">
        <f>IF(G12="","",C12-G12)</f>
        <v/>
      </c>
      <c r="I12" s="9" t="str">
        <f>IF(COUNT(D12:F12)=0,"NOT USED",IF('02 Hospice Setup'!$C$20&lt;&gt;"Yes","ERROR - SITE NOT ACTIVE",IF(G12&gt;C12,"ERROR",IF(G12=C12,"OK","WARNING - INCOMPLETE"))))</f>
        <v>NOT USED</v>
      </c>
      <c r="J12" s="103"/>
    </row>
    <row r="13" spans="1:16">
      <c r="A13" s="9" t="s">
        <v>214</v>
      </c>
      <c r="B13" s="9" t="str">
        <f>IF('02 Hospice Setup'!$B$21="","",'02 Hospice Setup'!$B$21)</f>
        <v/>
      </c>
      <c r="C13" s="44">
        <f>SUMIFS('09 Core Activity &amp; Capacity'!$F$6:$F$44,'09 Core Activity &amp; Capacity'!$A$6:$A$44,A13,'09 Core Activity &amp; Capacity'!$D$6:$D$44,"Activity")</f>
        <v>0</v>
      </c>
      <c r="D13" s="102"/>
      <c r="E13" s="102"/>
      <c r="F13" s="102"/>
      <c r="G13" s="44" t="str">
        <f>IF(COUNT(D13:F13)=0,"",SUM(D13:F13))</f>
        <v/>
      </c>
      <c r="H13" s="44" t="str">
        <f>IF(G13="","",C13-G13)</f>
        <v/>
      </c>
      <c r="I13" s="9" t="str">
        <f>IF(COUNT(D13:F13)=0,"NOT USED",IF('02 Hospice Setup'!$C$21&lt;&gt;"Yes","ERROR - SITE NOT ACTIVE",IF(G13&gt;C13,"ERROR",IF(G13=C13,"OK","WARNING - INCOMPLETE"))))</f>
        <v>NOT USED</v>
      </c>
      <c r="J13" s="103"/>
    </row>
    <row r="14" spans="1:16">
      <c r="A14" s="9" t="s">
        <v>215</v>
      </c>
      <c r="B14" s="9" t="str">
        <f>IF('02 Hospice Setup'!$B$22="","",'02 Hospice Setup'!$B$22)</f>
        <v/>
      </c>
      <c r="C14" s="44">
        <f>SUMIFS('09 Core Activity &amp; Capacity'!$F$6:$F$44,'09 Core Activity &amp; Capacity'!$A$6:$A$44,A14,'09 Core Activity &amp; Capacity'!$D$6:$D$44,"Activity")</f>
        <v>0</v>
      </c>
      <c r="D14" s="102"/>
      <c r="E14" s="102"/>
      <c r="F14" s="102"/>
      <c r="G14" s="44" t="str">
        <f>IF(COUNT(D14:F14)=0,"",SUM(D14:F14))</f>
        <v/>
      </c>
      <c r="H14" s="44" t="str">
        <f>IF(G14="","",C14-G14)</f>
        <v/>
      </c>
      <c r="I14" s="9" t="str">
        <f>IF(COUNT(D14:F14)=0,"NOT USED",IF('02 Hospice Setup'!$C$22&lt;&gt;"Yes","ERROR - SITE NOT ACTIVE",IF(G14&gt;C14,"ERROR",IF(G14=C14,"OK","WARNING - INCOMPLETE"))))</f>
        <v>NOT USED</v>
      </c>
      <c r="J14" s="103"/>
    </row>
    <row r="16" spans="1:16" ht="24" customHeight="1">
      <c r="A16" s="118" t="s">
        <v>444</v>
      </c>
      <c r="B16" s="118"/>
      <c r="C16" s="118"/>
      <c r="D16" s="118"/>
      <c r="E16" s="118"/>
      <c r="F16" s="118"/>
      <c r="G16" s="118"/>
    </row>
    <row r="17" spans="1:16">
      <c r="A17" s="124" t="s">
        <v>445</v>
      </c>
      <c r="B17" s="124"/>
      <c r="C17" s="124"/>
      <c r="D17" s="124"/>
      <c r="E17" s="124"/>
      <c r="F17" s="124"/>
      <c r="G17" s="124"/>
    </row>
    <row r="18" spans="1:16">
      <c r="A18" s="124"/>
      <c r="B18" s="124"/>
      <c r="C18" s="124"/>
      <c r="D18" s="124"/>
      <c r="E18" s="124"/>
      <c r="F18" s="124"/>
      <c r="G18" s="124"/>
    </row>
    <row r="19" spans="1:16" ht="30" customHeight="1">
      <c r="A19" s="2" t="s">
        <v>437</v>
      </c>
      <c r="B19" s="2" t="s">
        <v>368</v>
      </c>
      <c r="C19" s="2" t="s">
        <v>446</v>
      </c>
      <c r="D19" s="2" t="s">
        <v>447</v>
      </c>
      <c r="E19" s="2" t="s">
        <v>448</v>
      </c>
      <c r="F19" s="2" t="s">
        <v>449</v>
      </c>
      <c r="G19" s="2" t="s">
        <v>71</v>
      </c>
    </row>
    <row r="20" spans="1:16">
      <c r="A20" s="9" t="s">
        <v>213</v>
      </c>
      <c r="B20" s="9" t="str">
        <f>IF('02 Hospice Setup'!$B$20="","",'02 Hospice Setup'!$B$20)</f>
        <v/>
      </c>
      <c r="C20" s="103"/>
      <c r="D20" s="106"/>
      <c r="E20" s="14" t="str">
        <f>IF(C20="","",IF(C20="Full reporting year",'02 Hospice Setup'!$E$7,D20))</f>
        <v/>
      </c>
      <c r="F20" s="14" t="str">
        <f>IF(E20="","",IF(C20="Representative week",E20+6,IF(C20="Representative month",DATE(YEAR(E20),MONTH(E20)+1,0),IF(C20="Full reporting year",'02 Hospice Setup'!$H$7,""))))</f>
        <v/>
      </c>
      <c r="G20" s="9" t="str">
        <f>IF(C20="","NOT USED",IF('02 Hospice Setup'!$C$20&lt;&gt;"Yes","ERROR - SITE NOT ACTIVE",IF(C20="Full reporting year",IF(OR('02 Hospice Setup'!$E$7="",'02 Hospice Setup'!$H$7=""),"ERROR - REPORTING DATES MISSING","OK"),IF(D20="","WARNING - ADD START DATE","OK"))))</f>
        <v>NOT USED</v>
      </c>
    </row>
    <row r="21" spans="1:16">
      <c r="A21" s="9" t="s">
        <v>214</v>
      </c>
      <c r="B21" s="9" t="str">
        <f>IF('02 Hospice Setup'!$B$21="","",'02 Hospice Setup'!$B$21)</f>
        <v/>
      </c>
      <c r="C21" s="103"/>
      <c r="D21" s="106"/>
      <c r="E21" s="14" t="str">
        <f>IF(C21="","",IF(C21="Full reporting year",'02 Hospice Setup'!$E$7,D21))</f>
        <v/>
      </c>
      <c r="F21" s="14" t="str">
        <f>IF(E21="","",IF(C21="Representative week",E21+6,IF(C21="Representative month",DATE(YEAR(E21),MONTH(E21)+1,0),IF(C21="Full reporting year",'02 Hospice Setup'!$H$7,""))))</f>
        <v/>
      </c>
      <c r="G21" s="9" t="str">
        <f>IF(C21="","NOT USED",IF('02 Hospice Setup'!$C$21&lt;&gt;"Yes","ERROR - SITE NOT ACTIVE",IF(C21="Full reporting year",IF(OR('02 Hospice Setup'!$E$7="",'02 Hospice Setup'!$H$7=""),"ERROR - REPORTING DATES MISSING","OK"),IF(D21="","WARNING - ADD START DATE","OK"))))</f>
        <v>NOT USED</v>
      </c>
    </row>
    <row r="22" spans="1:16">
      <c r="A22" s="9" t="s">
        <v>215</v>
      </c>
      <c r="B22" s="9" t="str">
        <f>IF('02 Hospice Setup'!$B$22="","",'02 Hospice Setup'!$B$22)</f>
        <v/>
      </c>
      <c r="C22" s="103"/>
      <c r="D22" s="106"/>
      <c r="E22" s="14" t="str">
        <f>IF(C22="","",IF(C22="Full reporting year",'02 Hospice Setup'!$E$7,D22))</f>
        <v/>
      </c>
      <c r="F22" s="14" t="str">
        <f>IF(E22="","",IF(C22="Representative week",E22+6,IF(C22="Representative month",DATE(YEAR(E22),MONTH(E22)+1,0),IF(C22="Full reporting year",'02 Hospice Setup'!$H$7,""))))</f>
        <v/>
      </c>
      <c r="G22" s="9" t="str">
        <f>IF(C22="","NOT USED",IF('02 Hospice Setup'!$C$22&lt;&gt;"Yes","ERROR - SITE NOT ACTIVE",IF(C22="Full reporting year",IF(OR('02 Hospice Setup'!$E$7="",'02 Hospice Setup'!$H$7=""),"ERROR - REPORTING DATES MISSING","OK"),IF(D22="","WARNING - ADD START DATE","OK"))))</f>
        <v>NOT USED</v>
      </c>
    </row>
    <row r="24" spans="1:16" ht="24" customHeight="1">
      <c r="A24" s="118" t="s">
        <v>450</v>
      </c>
      <c r="B24" s="118"/>
      <c r="C24" s="118"/>
      <c r="D24" s="118"/>
      <c r="E24" s="118"/>
      <c r="F24" s="118"/>
      <c r="G24" s="118"/>
      <c r="H24" s="118"/>
      <c r="I24" s="118"/>
      <c r="J24" s="118"/>
      <c r="K24" s="118"/>
      <c r="L24" s="118"/>
      <c r="M24" s="118"/>
      <c r="N24" s="118"/>
    </row>
    <row r="25" spans="1:16">
      <c r="A25" s="124" t="s">
        <v>451</v>
      </c>
      <c r="B25" s="124"/>
      <c r="C25" s="124"/>
      <c r="D25" s="124"/>
      <c r="E25" s="124"/>
      <c r="F25" s="124"/>
      <c r="G25" s="124"/>
      <c r="H25" s="124"/>
      <c r="I25" s="124"/>
      <c r="J25" s="124"/>
      <c r="K25" s="124"/>
      <c r="L25" s="124"/>
      <c r="M25" s="124"/>
      <c r="N25" s="124"/>
    </row>
    <row r="26" spans="1:16">
      <c r="A26" s="124"/>
      <c r="B26" s="124"/>
      <c r="C26" s="124"/>
      <c r="D26" s="124"/>
      <c r="E26" s="124"/>
      <c r="F26" s="124"/>
      <c r="G26" s="124"/>
      <c r="H26" s="124"/>
      <c r="I26" s="124"/>
      <c r="J26" s="124"/>
      <c r="K26" s="124"/>
      <c r="L26" s="124"/>
      <c r="M26" s="124"/>
      <c r="N26" s="124"/>
    </row>
    <row r="27" spans="1:16" ht="30" customHeight="1">
      <c r="A27" s="2" t="s">
        <v>437</v>
      </c>
      <c r="B27" s="2" t="s">
        <v>368</v>
      </c>
      <c r="C27" s="2" t="s">
        <v>452</v>
      </c>
      <c r="D27" s="2" t="s">
        <v>453</v>
      </c>
      <c r="E27" s="2" t="s">
        <v>454</v>
      </c>
      <c r="F27" s="2" t="s">
        <v>455</v>
      </c>
      <c r="G27" s="2" t="s">
        <v>456</v>
      </c>
      <c r="H27" s="2" t="s">
        <v>457</v>
      </c>
      <c r="I27" s="2" t="s">
        <v>458</v>
      </c>
      <c r="J27" s="2" t="s">
        <v>459</v>
      </c>
      <c r="K27" s="2" t="s">
        <v>442</v>
      </c>
      <c r="L27" s="2" t="s">
        <v>443</v>
      </c>
      <c r="M27" s="2" t="s">
        <v>71</v>
      </c>
      <c r="N27" s="2" t="s">
        <v>380</v>
      </c>
    </row>
    <row r="28" spans="1:16">
      <c r="A28" s="9" t="s">
        <v>213</v>
      </c>
      <c r="B28" s="9" t="str">
        <f>IF('02 Hospice Setup'!$B$20="","",'02 Hospice Setup'!$B$20)</f>
        <v/>
      </c>
      <c r="C28" s="102"/>
      <c r="D28" s="102"/>
      <c r="E28" s="102"/>
      <c r="F28" s="102"/>
      <c r="G28" s="44" t="str">
        <f>IF(C20="","",IF(C20="Full reporting year",C12,C28))</f>
        <v/>
      </c>
      <c r="H28" s="44" t="str">
        <f>IF(C20="","",IF(C20="Full reporting year",D12,D28))</f>
        <v/>
      </c>
      <c r="I28" s="44" t="str">
        <f>IF(C20="","",IF(C20="Full reporting year",E12,E28))</f>
        <v/>
      </c>
      <c r="J28" s="44" t="str">
        <f>IF(C20="","",IF(C20="Full reporting year",F12,F28))</f>
        <v/>
      </c>
      <c r="K28" s="44" t="str">
        <f>IF(COUNT(H28:J28)=0,"",SUM(H28:J28))</f>
        <v/>
      </c>
      <c r="L28" s="44" t="str">
        <f>IF(OR(G28="",K28=""),"",G28-K28)</f>
        <v/>
      </c>
      <c r="M28" s="9" t="str">
        <f>IF(C20="","NOT USED",IF(LEFT(G20,5)="ERROR","ERROR - PERIOD SETTINGS",IF(C20="Full reporting year",IF(I12="OK","OK","WARNING - COMPLETE ANNUAL ANALYSIS"),IF(COUNT(C28:F28)&lt;4,"WARNING - INCOMPLETE",IF(K28&gt;G28,"ERROR",IF(K28=G28,"OK","WARNING - INCOMPLETE"))))))</f>
        <v>NOT USED</v>
      </c>
      <c r="N28" s="103"/>
    </row>
    <row r="29" spans="1:16">
      <c r="A29" s="9" t="s">
        <v>214</v>
      </c>
      <c r="B29" s="9" t="str">
        <f>IF('02 Hospice Setup'!$B$21="","",'02 Hospice Setup'!$B$21)</f>
        <v/>
      </c>
      <c r="C29" s="102"/>
      <c r="D29" s="102"/>
      <c r="E29" s="102"/>
      <c r="F29" s="102"/>
      <c r="G29" s="44" t="str">
        <f>IF(C21="","",IF(C21="Full reporting year",C13,C29))</f>
        <v/>
      </c>
      <c r="H29" s="44" t="str">
        <f>IF(C21="","",IF(C21="Full reporting year",D13,D29))</f>
        <v/>
      </c>
      <c r="I29" s="44" t="str">
        <f>IF(C21="","",IF(C21="Full reporting year",E13,E29))</f>
        <v/>
      </c>
      <c r="J29" s="44" t="str">
        <f>IF(C21="","",IF(C21="Full reporting year",F13,F29))</f>
        <v/>
      </c>
      <c r="K29" s="44" t="str">
        <f>IF(COUNT(H29:J29)=0,"",SUM(H29:J29))</f>
        <v/>
      </c>
      <c r="L29" s="44" t="str">
        <f>IF(OR(G29="",K29=""),"",G29-K29)</f>
        <v/>
      </c>
      <c r="M29" s="9" t="str">
        <f>IF(C21="","NOT USED",IF(LEFT(G21,5)="ERROR","ERROR - PERIOD SETTINGS",IF(C21="Full reporting year",IF(I13="OK","OK","WARNING - COMPLETE ANNUAL ANALYSIS"),IF(COUNT(C29:F29)&lt;4,"WARNING - INCOMPLETE",IF(K29&gt;G29,"ERROR",IF(K29=G29,"OK","WARNING - INCOMPLETE"))))))</f>
        <v>NOT USED</v>
      </c>
      <c r="N29" s="103"/>
    </row>
    <row r="30" spans="1:16">
      <c r="A30" s="9" t="s">
        <v>215</v>
      </c>
      <c r="B30" s="9" t="str">
        <f>IF('02 Hospice Setup'!$B$22="","",'02 Hospice Setup'!$B$22)</f>
        <v/>
      </c>
      <c r="C30" s="102"/>
      <c r="D30" s="102"/>
      <c r="E30" s="102"/>
      <c r="F30" s="102"/>
      <c r="G30" s="44" t="str">
        <f>IF(C22="","",IF(C22="Full reporting year",C14,C30))</f>
        <v/>
      </c>
      <c r="H30" s="44" t="str">
        <f>IF(C22="","",IF(C22="Full reporting year",D14,D30))</f>
        <v/>
      </c>
      <c r="I30" s="44" t="str">
        <f>IF(C22="","",IF(C22="Full reporting year",E14,E30))</f>
        <v/>
      </c>
      <c r="J30" s="44" t="str">
        <f>IF(C22="","",IF(C22="Full reporting year",F14,F30))</f>
        <v/>
      </c>
      <c r="K30" s="44" t="str">
        <f>IF(COUNT(H30:J30)=0,"",SUM(H30:J30))</f>
        <v/>
      </c>
      <c r="L30" s="44" t="str">
        <f>IF(OR(G30="",K30=""),"",G30-K30)</f>
        <v/>
      </c>
      <c r="M30" s="9" t="str">
        <f>IF(C22="","NOT USED",IF(LEFT(G22,5)="ERROR","ERROR - PERIOD SETTINGS",IF(C22="Full reporting year",IF(I14="OK","OK","WARNING - COMPLETE ANNUAL ANALYSIS"),IF(COUNT(C30:F30)&lt;4,"WARNING - INCOMPLETE",IF(K30&gt;G30,"ERROR",IF(K30=G30,"OK","WARNING - INCOMPLETE"))))))</f>
        <v>NOT USED</v>
      </c>
      <c r="N30" s="103"/>
    </row>
    <row r="32" spans="1:16" ht="24" customHeight="1">
      <c r="A32" s="118" t="s">
        <v>460</v>
      </c>
      <c r="B32" s="118"/>
      <c r="C32" s="118"/>
      <c r="D32" s="118"/>
      <c r="E32" s="118"/>
      <c r="F32" s="118"/>
      <c r="G32" s="118"/>
      <c r="H32" s="118"/>
      <c r="I32" s="118"/>
      <c r="J32" s="118"/>
      <c r="K32" s="118"/>
      <c r="L32" s="118"/>
      <c r="M32" s="118"/>
      <c r="N32" s="118"/>
      <c r="O32" s="118"/>
      <c r="P32" s="118"/>
    </row>
    <row r="33" spans="1:16" ht="46" customHeight="1">
      <c r="A33" s="124" t="s">
        <v>461</v>
      </c>
      <c r="B33" s="124"/>
      <c r="C33" s="124"/>
      <c r="D33" s="124"/>
      <c r="E33" s="124"/>
      <c r="F33" s="124"/>
      <c r="G33" s="124"/>
      <c r="H33" s="124"/>
      <c r="I33" s="124"/>
      <c r="J33" s="124"/>
      <c r="K33" s="124"/>
      <c r="L33" s="124"/>
      <c r="M33" s="124"/>
      <c r="N33" s="124"/>
      <c r="O33" s="124"/>
      <c r="P33" s="124"/>
    </row>
    <row r="34" spans="1:16">
      <c r="A34" s="124"/>
      <c r="B34" s="124"/>
      <c r="C34" s="124"/>
      <c r="D34" s="124"/>
      <c r="E34" s="124"/>
      <c r="F34" s="124"/>
      <c r="G34" s="124"/>
      <c r="H34" s="124"/>
      <c r="I34" s="124"/>
      <c r="J34" s="124"/>
      <c r="K34" s="124"/>
      <c r="L34" s="124"/>
      <c r="M34" s="124"/>
      <c r="N34" s="124"/>
      <c r="O34" s="124"/>
      <c r="P34" s="124"/>
    </row>
    <row r="35" spans="1:16" ht="30" customHeight="1">
      <c r="A35" s="2" t="s">
        <v>437</v>
      </c>
      <c r="B35" s="2" t="s">
        <v>368</v>
      </c>
      <c r="C35" s="2" t="s">
        <v>462</v>
      </c>
      <c r="D35" s="2" t="s">
        <v>463</v>
      </c>
      <c r="E35" s="2" t="s">
        <v>464</v>
      </c>
      <c r="F35" s="2" t="s">
        <v>465</v>
      </c>
      <c r="G35" s="2" t="s">
        <v>442</v>
      </c>
      <c r="H35" s="2" t="s">
        <v>443</v>
      </c>
      <c r="I35" s="2" t="s">
        <v>71</v>
      </c>
      <c r="J35" s="2" t="s">
        <v>466</v>
      </c>
      <c r="K35" s="2" t="s">
        <v>467</v>
      </c>
      <c r="L35" s="2" t="s">
        <v>468</v>
      </c>
      <c r="M35" s="2" t="s">
        <v>446</v>
      </c>
      <c r="N35" s="2" t="s">
        <v>469</v>
      </c>
      <c r="O35" s="2" t="s">
        <v>470</v>
      </c>
      <c r="P35" s="2" t="s">
        <v>471</v>
      </c>
    </row>
    <row r="36" spans="1:16">
      <c r="A36" s="9" t="s">
        <v>213</v>
      </c>
      <c r="B36" s="9" t="str">
        <f>IF('02 Hospice Setup'!$B$20="","",'02 Hospice Setup'!$B$20)</f>
        <v/>
      </c>
      <c r="C36" s="107"/>
      <c r="D36" s="107"/>
      <c r="E36" s="107"/>
      <c r="F36" s="107"/>
      <c r="G36" s="65" t="str">
        <f>IF(COUNT(D36:F36)=0,"",SUM(D36:F36))</f>
        <v/>
      </c>
      <c r="H36" s="65" t="str">
        <f>IF(OR(C36="",G36=""),"",C36-G36)</f>
        <v/>
      </c>
      <c r="I36" s="65" t="str">
        <f>IF(COUNT(C36:F36)=0,"NOT USED",IF(C20="","ERROR - SELECT PERIOD",IF(LEFT(G20,5)="ERROR","ERROR - PERIOD SETTINGS",IF(COUNT(C36:F36)&lt;4,"WARNING - INCOMPLETE",IF(G36&gt;C36,"ERROR",IF(G36=C36,"OK","WARNING - INCOMPLETE"))))))</f>
        <v>NOT USED</v>
      </c>
      <c r="J36" s="65" t="str">
        <f t="shared" ref="J36:L38" si="0">IFERROR(D36/H28,"")</f>
        <v/>
      </c>
      <c r="K36" s="65" t="str">
        <f t="shared" si="0"/>
        <v/>
      </c>
      <c r="L36" s="65" t="str">
        <f t="shared" si="0"/>
        <v/>
      </c>
      <c r="M36" s="9" t="str">
        <f>IF(C20="","",C20)</f>
        <v/>
      </c>
      <c r="N36" s="103"/>
      <c r="O36" s="108"/>
      <c r="P36" s="9" t="str">
        <f>IF(O36&lt;&gt;"","User-entered nursing/care cost","Other staff costs proxy (direct + shared)")</f>
        <v>Other staff costs proxy (direct + shared)</v>
      </c>
    </row>
    <row r="37" spans="1:16">
      <c r="A37" s="9" t="s">
        <v>214</v>
      </c>
      <c r="B37" s="9" t="str">
        <f>IF('02 Hospice Setup'!$B$21="","",'02 Hospice Setup'!$B$21)</f>
        <v/>
      </c>
      <c r="C37" s="107"/>
      <c r="D37" s="107"/>
      <c r="E37" s="107"/>
      <c r="F37" s="107"/>
      <c r="G37" s="65" t="str">
        <f>IF(COUNT(D37:F37)=0,"",SUM(D37:F37))</f>
        <v/>
      </c>
      <c r="H37" s="65" t="str">
        <f>IF(OR(C37="",G37=""),"",C37-G37)</f>
        <v/>
      </c>
      <c r="I37" s="65" t="str">
        <f>IF(COUNT(C37:F37)=0,"NOT USED",IF(C21="","ERROR - SELECT PERIOD",IF(LEFT(G21,5)="ERROR","ERROR - PERIOD SETTINGS",IF(COUNT(C37:F37)&lt;4,"WARNING - INCOMPLETE",IF(G37&gt;C37,"ERROR",IF(G37=C37,"OK","WARNING - INCOMPLETE"))))))</f>
        <v>NOT USED</v>
      </c>
      <c r="J37" s="65" t="str">
        <f t="shared" si="0"/>
        <v/>
      </c>
      <c r="K37" s="65" t="str">
        <f t="shared" si="0"/>
        <v/>
      </c>
      <c r="L37" s="65" t="str">
        <f t="shared" si="0"/>
        <v/>
      </c>
      <c r="M37" s="9" t="str">
        <f>IF(C21="","",C21)</f>
        <v/>
      </c>
      <c r="N37" s="103"/>
      <c r="O37" s="108"/>
      <c r="P37" s="9" t="str">
        <f>IF(O37&lt;&gt;"","User-entered nursing/care cost","Other staff costs proxy (direct + shared)")</f>
        <v>Other staff costs proxy (direct + shared)</v>
      </c>
    </row>
    <row r="38" spans="1:16">
      <c r="A38" s="9" t="s">
        <v>215</v>
      </c>
      <c r="B38" s="9" t="str">
        <f>IF('02 Hospice Setup'!$B$22="","",'02 Hospice Setup'!$B$22)</f>
        <v/>
      </c>
      <c r="C38" s="107"/>
      <c r="D38" s="107"/>
      <c r="E38" s="107"/>
      <c r="F38" s="107"/>
      <c r="G38" s="65" t="str">
        <f>IF(COUNT(D38:F38)=0,"",SUM(D38:F38))</f>
        <v/>
      </c>
      <c r="H38" s="65" t="str">
        <f>IF(OR(C38="",G38=""),"",C38-G38)</f>
        <v/>
      </c>
      <c r="I38" s="65" t="str">
        <f>IF(COUNT(C38:F38)=0,"NOT USED",IF(C22="","ERROR - SELECT PERIOD",IF(LEFT(G22,5)="ERROR","ERROR - PERIOD SETTINGS",IF(COUNT(C38:F38)&lt;4,"WARNING - INCOMPLETE",IF(G38&gt;C38,"ERROR",IF(G38=C38,"OK","WARNING - INCOMPLETE"))))))</f>
        <v>NOT USED</v>
      </c>
      <c r="J38" s="65" t="str">
        <f t="shared" si="0"/>
        <v/>
      </c>
      <c r="K38" s="65" t="str">
        <f t="shared" si="0"/>
        <v/>
      </c>
      <c r="L38" s="65" t="str">
        <f t="shared" si="0"/>
        <v/>
      </c>
      <c r="M38" s="9" t="str">
        <f>IF(C22="","",C22)</f>
        <v/>
      </c>
      <c r="N38" s="103"/>
      <c r="O38" s="108"/>
      <c r="P38" s="9" t="str">
        <f>IF(O38&lt;&gt;"","User-entered nursing/care cost","Other staff costs proxy (direct + shared)")</f>
        <v>Other staff costs proxy (direct + shared)</v>
      </c>
    </row>
  </sheetData>
  <sheetProtection sheet="1" objects="1" scenarios="1" formatColumns="0" formatRows="0"/>
  <mergeCells count="12">
    <mergeCell ref="A1:P1"/>
    <mergeCell ref="A2:P2"/>
    <mergeCell ref="A4:P4"/>
    <mergeCell ref="A5:P6"/>
    <mergeCell ref="A8:J8"/>
    <mergeCell ref="A32:P32"/>
    <mergeCell ref="A33:P34"/>
    <mergeCell ref="A9:J10"/>
    <mergeCell ref="A16:G16"/>
    <mergeCell ref="A17:G18"/>
    <mergeCell ref="A24:N24"/>
    <mergeCell ref="A25:N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0"/>
  <sheetViews>
    <sheetView showGridLines="0" workbookViewId="0"/>
  </sheetViews>
  <sheetFormatPr baseColWidth="10" defaultColWidth="8.83203125" defaultRowHeight="14"/>
  <cols>
    <col min="1" max="1" width="17" customWidth="1"/>
    <col min="2" max="2" width="35" customWidth="1"/>
    <col min="3" max="4" width="31" customWidth="1"/>
    <col min="5" max="6" width="21" customWidth="1"/>
    <col min="7" max="7" width="24" customWidth="1"/>
    <col min="8" max="8" width="34" customWidth="1"/>
    <col min="9" max="9" width="28" customWidth="1"/>
    <col min="10" max="10" width="30" customWidth="1"/>
  </cols>
  <sheetData>
    <row r="1" spans="1:10" ht="34" customHeight="1">
      <c r="A1" s="111" t="s">
        <v>37</v>
      </c>
      <c r="B1" s="111"/>
      <c r="C1" s="111"/>
      <c r="D1" s="111"/>
      <c r="E1" s="111"/>
      <c r="F1" s="111"/>
      <c r="G1" s="111"/>
      <c r="H1" s="111"/>
      <c r="I1" s="111"/>
      <c r="J1" s="111"/>
    </row>
    <row r="2" spans="1:10" ht="28" customHeight="1">
      <c r="A2" s="112" t="s">
        <v>472</v>
      </c>
      <c r="B2" s="112"/>
      <c r="C2" s="112"/>
      <c r="D2" s="112"/>
      <c r="E2" s="112"/>
      <c r="F2" s="112"/>
      <c r="G2" s="112"/>
      <c r="H2" s="112"/>
      <c r="I2" s="112"/>
      <c r="J2" s="112"/>
    </row>
    <row r="4" spans="1:10" ht="24" customHeight="1">
      <c r="A4" s="118" t="s">
        <v>473</v>
      </c>
      <c r="B4" s="118"/>
      <c r="C4" s="118"/>
      <c r="D4" s="118"/>
      <c r="E4" s="118"/>
      <c r="F4" s="118"/>
      <c r="G4" s="118"/>
      <c r="H4" s="118"/>
    </row>
    <row r="5" spans="1:10">
      <c r="A5" s="131" t="s">
        <v>474</v>
      </c>
      <c r="B5" s="131"/>
      <c r="C5" s="131"/>
      <c r="D5" s="131"/>
      <c r="E5" s="131"/>
      <c r="F5" s="131"/>
      <c r="G5" s="131"/>
      <c r="H5" s="131"/>
    </row>
    <row r="6" spans="1:10">
      <c r="A6" s="131"/>
      <c r="B6" s="131"/>
      <c r="C6" s="131"/>
      <c r="D6" s="131"/>
      <c r="E6" s="131"/>
      <c r="F6" s="131"/>
      <c r="G6" s="131"/>
      <c r="H6" s="131"/>
    </row>
    <row r="7" spans="1:10" ht="30" customHeight="1">
      <c r="A7" s="2" t="s">
        <v>108</v>
      </c>
      <c r="B7" s="2" t="s">
        <v>376</v>
      </c>
      <c r="C7" s="2" t="s">
        <v>475</v>
      </c>
      <c r="D7" s="2" t="s">
        <v>476</v>
      </c>
      <c r="E7" s="2" t="s">
        <v>477</v>
      </c>
      <c r="F7" s="2" t="s">
        <v>478</v>
      </c>
      <c r="G7" s="2" t="s">
        <v>71</v>
      </c>
      <c r="H7" s="2" t="s">
        <v>380</v>
      </c>
    </row>
    <row r="8" spans="1:10" ht="42" customHeight="1">
      <c r="A8" s="22" t="s">
        <v>122</v>
      </c>
      <c r="B8" s="22" t="s">
        <v>124</v>
      </c>
      <c r="C8" s="105"/>
      <c r="D8" s="109"/>
      <c r="E8" s="27">
        <f>SUM(I19:I20)</f>
        <v>0</v>
      </c>
      <c r="F8" s="27" t="str">
        <f t="shared" ref="F8:F13" si="0">IF(D8="","",D8-E8)</f>
        <v/>
      </c>
      <c r="G8" s="24" t="str">
        <f>IF(SUM(F19:F20)=0,"NOT USED",IF(C8="","CHOOSE STAFF-TIME METHOD",IF(COUNTIF(J19:J20,"STAFF-TIME DATA REQUIRED")&gt;0,"STAFF-TIME DATA REQUIRED",IF(D8&lt;&gt;"",IF(ABS(F8)&gt;0.5,"WARNING - HOURS DO NOT MATCH","COMPLETE"),"COMPLETE"))))</f>
        <v>NOT USED</v>
      </c>
      <c r="H8" s="105"/>
      <c r="I8" s="22"/>
      <c r="J8" s="22"/>
    </row>
    <row r="9" spans="1:10" ht="42" customHeight="1">
      <c r="A9" s="22" t="s">
        <v>125</v>
      </c>
      <c r="B9" s="22" t="s">
        <v>126</v>
      </c>
      <c r="C9" s="105"/>
      <c r="D9" s="109"/>
      <c r="E9" s="27">
        <f>SUM(I21:I22)</f>
        <v>0</v>
      </c>
      <c r="F9" s="27" t="str">
        <f t="shared" si="0"/>
        <v/>
      </c>
      <c r="G9" s="24" t="str">
        <f>IF(SUM(F21:F22)=0,"NOT USED",IF(C9="","CHOOSE STAFF-TIME METHOD",IF(COUNTIF(J21:J22,"STAFF-TIME DATA REQUIRED")&gt;0,"STAFF-TIME DATA REQUIRED",IF(D9&lt;&gt;"",IF(ABS(F9)&gt;0.5,"WARNING - HOURS DO NOT MATCH","COMPLETE"),"COMPLETE"))))</f>
        <v>NOT USED</v>
      </c>
      <c r="H9" s="105"/>
      <c r="I9" s="22"/>
      <c r="J9" s="22"/>
    </row>
    <row r="10" spans="1:10" ht="42" customHeight="1">
      <c r="A10" s="22" t="s">
        <v>127</v>
      </c>
      <c r="B10" s="22" t="s">
        <v>128</v>
      </c>
      <c r="C10" s="105"/>
      <c r="D10" s="109"/>
      <c r="E10" s="27">
        <f>SUM(I23:I24)</f>
        <v>0</v>
      </c>
      <c r="F10" s="27" t="str">
        <f t="shared" si="0"/>
        <v/>
      </c>
      <c r="G10" s="24" t="str">
        <f>IF(SUM(F23:F24)=0,"NOT USED",IF(C10="","CHOOSE STAFF-TIME METHOD",IF(COUNTIF(J23:J24,"STAFF-TIME DATA REQUIRED")&gt;0,"STAFF-TIME DATA REQUIRED",IF(D10&lt;&gt;"",IF(ABS(F10)&gt;0.5,"WARNING - HOURS DO NOT MATCH","COMPLETE"),"COMPLETE"))))</f>
        <v>NOT USED</v>
      </c>
      <c r="H10" s="105"/>
      <c r="I10" s="22"/>
      <c r="J10" s="22"/>
    </row>
    <row r="11" spans="1:10" ht="42" customHeight="1">
      <c r="A11" s="22" t="s">
        <v>129</v>
      </c>
      <c r="B11" s="22" t="s">
        <v>131</v>
      </c>
      <c r="C11" s="105"/>
      <c r="D11" s="109"/>
      <c r="E11" s="27">
        <f>SUM(I25:I26)</f>
        <v>0</v>
      </c>
      <c r="F11" s="27" t="str">
        <f t="shared" si="0"/>
        <v/>
      </c>
      <c r="G11" s="24" t="str">
        <f>IF(SUM(F25:F26)=0,"NOT USED",IF(C11="","CHOOSE STAFF-TIME METHOD",IF(COUNTIF(J25:J26,"STAFF-TIME DATA REQUIRED")&gt;0,"STAFF-TIME DATA REQUIRED",IF(D11&lt;&gt;"",IF(ABS(F11)&gt;0.5,"WARNING - HOURS DO NOT MATCH","COMPLETE"),"COMPLETE"))))</f>
        <v>NOT USED</v>
      </c>
      <c r="H11" s="105"/>
      <c r="I11" s="22"/>
      <c r="J11" s="22"/>
    </row>
    <row r="12" spans="1:10" ht="42" customHeight="1">
      <c r="A12" s="22" t="s">
        <v>132</v>
      </c>
      <c r="B12" s="22" t="s">
        <v>133</v>
      </c>
      <c r="C12" s="105"/>
      <c r="D12" s="109"/>
      <c r="E12" s="27">
        <f>SUM(I27:I28)</f>
        <v>0</v>
      </c>
      <c r="F12" s="27" t="str">
        <f t="shared" si="0"/>
        <v/>
      </c>
      <c r="G12" s="24" t="str">
        <f>IF(SUM(F27:F28)=0,"NOT USED",IF(C12="","CHOOSE STAFF-TIME METHOD",IF(COUNTIF(J27:J28,"STAFF-TIME DATA REQUIRED")&gt;0,"STAFF-TIME DATA REQUIRED",IF(D12&lt;&gt;"",IF(ABS(F12)&gt;0.5,"WARNING - HOURS DO NOT MATCH","COMPLETE"),"COMPLETE"))))</f>
        <v>NOT USED</v>
      </c>
      <c r="H12" s="105"/>
      <c r="I12" s="22"/>
      <c r="J12" s="22"/>
    </row>
    <row r="13" spans="1:10" ht="42" customHeight="1">
      <c r="A13" s="22" t="s">
        <v>134</v>
      </c>
      <c r="B13" s="22" t="s">
        <v>135</v>
      </c>
      <c r="C13" s="105"/>
      <c r="D13" s="109"/>
      <c r="E13" s="27">
        <f>SUM(I29:I30)</f>
        <v>0</v>
      </c>
      <c r="F13" s="27" t="str">
        <f t="shared" si="0"/>
        <v/>
      </c>
      <c r="G13" s="24" t="str">
        <f>IF(SUM(F29:F30)=0,"NOT USED",IF(C13="","CHOOSE STAFF-TIME METHOD",IF(COUNTIF(J29:J30,"STAFF-TIME DATA REQUIRED")&gt;0,"STAFF-TIME DATA REQUIRED",IF(D13&lt;&gt;"",IF(ABS(F13)&gt;0.5,"WARNING - HOURS DO NOT MATCH","COMPLETE"),"COMPLETE"))))</f>
        <v>NOT USED</v>
      </c>
      <c r="H13" s="105"/>
      <c r="I13" s="22"/>
      <c r="J13" s="22"/>
    </row>
    <row r="14" spans="1:10">
      <c r="A14" s="20"/>
      <c r="B14" s="20"/>
      <c r="C14" s="20"/>
      <c r="D14" s="20"/>
      <c r="E14" s="20"/>
      <c r="F14" s="20"/>
      <c r="G14" s="20"/>
      <c r="H14" s="20"/>
      <c r="I14" s="20"/>
      <c r="J14" s="20"/>
    </row>
    <row r="15" spans="1:10" ht="26" customHeight="1">
      <c r="A15" s="132" t="s">
        <v>479</v>
      </c>
      <c r="B15" s="132"/>
      <c r="C15" s="132"/>
      <c r="D15" s="132"/>
      <c r="E15" s="132"/>
      <c r="F15" s="132"/>
      <c r="G15" s="132"/>
      <c r="H15" s="132"/>
      <c r="I15" s="132"/>
      <c r="J15" s="132"/>
    </row>
    <row r="16" spans="1:10" ht="48" customHeight="1">
      <c r="A16" s="126" t="s">
        <v>480</v>
      </c>
      <c r="B16" s="126"/>
      <c r="C16" s="126"/>
      <c r="D16" s="126"/>
      <c r="E16" s="126"/>
      <c r="F16" s="126"/>
      <c r="G16" s="126"/>
      <c r="H16" s="126"/>
      <c r="I16" s="126"/>
      <c r="J16" s="126"/>
    </row>
    <row r="17" spans="1:10">
      <c r="A17" s="127"/>
      <c r="B17" s="127"/>
      <c r="C17" s="127"/>
      <c r="D17" s="127"/>
      <c r="E17" s="127"/>
      <c r="F17" s="128"/>
      <c r="G17" s="128"/>
      <c r="H17" s="128"/>
      <c r="I17" s="129"/>
      <c r="J17" s="130"/>
    </row>
    <row r="18" spans="1:10" ht="42" customHeight="1">
      <c r="A18" s="25" t="s">
        <v>108</v>
      </c>
      <c r="B18" s="25" t="s">
        <v>376</v>
      </c>
      <c r="C18" s="25" t="s">
        <v>481</v>
      </c>
      <c r="D18" s="25" t="s">
        <v>378</v>
      </c>
      <c r="E18" s="25" t="s">
        <v>379</v>
      </c>
      <c r="F18" s="26" t="s">
        <v>482</v>
      </c>
      <c r="G18" s="26" t="s">
        <v>483</v>
      </c>
      <c r="H18" s="26" t="s">
        <v>484</v>
      </c>
      <c r="I18" s="26" t="s">
        <v>485</v>
      </c>
      <c r="J18" s="25" t="s">
        <v>71</v>
      </c>
    </row>
    <row r="19" spans="1:10" ht="40" customHeight="1">
      <c r="A19" s="22" t="s">
        <v>122</v>
      </c>
      <c r="B19" s="22" t="s">
        <v>124</v>
      </c>
      <c r="C19" s="22" t="s">
        <v>486</v>
      </c>
      <c r="D19" s="22" t="s">
        <v>487</v>
      </c>
      <c r="E19" s="22" t="s">
        <v>488</v>
      </c>
      <c r="F19" s="104"/>
      <c r="G19" s="109"/>
      <c r="H19" s="109"/>
      <c r="I19" s="27" t="str">
        <f>IF(F19=0,"",IF($C$8="Total direct staff hours",G19,IF($C$8="Average minutes per contact",F19*H19/60,"")))</f>
        <v/>
      </c>
      <c r="J19" s="24" t="str">
        <f>IF(F19=0,"NO CONTACTS",IF($C$8="","CHOOSE STAFF-TIME METHOD",IF($C$8="Total direct staff hours",IF(G19&gt;0,"OK","STAFF-TIME DATA REQUIRED"),IF(H19&gt;0,"OK","STAFF-TIME DATA REQUIRED"))))</f>
        <v>NO CONTACTS</v>
      </c>
    </row>
    <row r="20" spans="1:10" ht="40" customHeight="1">
      <c r="A20" s="22" t="s">
        <v>122</v>
      </c>
      <c r="B20" s="22" t="s">
        <v>124</v>
      </c>
      <c r="C20" s="22" t="s">
        <v>489</v>
      </c>
      <c r="D20" s="22" t="s">
        <v>487</v>
      </c>
      <c r="E20" s="22" t="s">
        <v>488</v>
      </c>
      <c r="F20" s="104"/>
      <c r="G20" s="109"/>
      <c r="H20" s="109"/>
      <c r="I20" s="27" t="str">
        <f>IF(F20=0,"",IF($C$8="Total direct staff hours",G20,IF($C$8="Average minutes per contact",F20*H20/60,"")))</f>
        <v/>
      </c>
      <c r="J20" s="24" t="str">
        <f>IF(F20=0,"NO CONTACTS",IF($C$8="","CHOOSE STAFF-TIME METHOD",IF($C$8="Total direct staff hours",IF(G20&gt;0,"OK","STAFF-TIME DATA REQUIRED"),IF(H20&gt;0,"OK","STAFF-TIME DATA REQUIRED"))))</f>
        <v>NO CONTACTS</v>
      </c>
    </row>
    <row r="21" spans="1:10" ht="40" customHeight="1">
      <c r="A21" s="22" t="s">
        <v>125</v>
      </c>
      <c r="B21" s="22" t="s">
        <v>126</v>
      </c>
      <c r="C21" s="22" t="s">
        <v>486</v>
      </c>
      <c r="D21" s="22" t="s">
        <v>487</v>
      </c>
      <c r="E21" s="22" t="s">
        <v>488</v>
      </c>
      <c r="F21" s="104"/>
      <c r="G21" s="109"/>
      <c r="H21" s="109"/>
      <c r="I21" s="27" t="str">
        <f>IF(F21=0,"",IF($C$9="Total direct staff hours",G21,IF($C$9="Average minutes per contact",F21*H21/60,"")))</f>
        <v/>
      </c>
      <c r="J21" s="24" t="str">
        <f>IF(F21=0,"NO CONTACTS",IF($C$9="","CHOOSE STAFF-TIME METHOD",IF($C$9="Total direct staff hours",IF(G21&gt;0,"OK","STAFF-TIME DATA REQUIRED"),IF(H21&gt;0,"OK","STAFF-TIME DATA REQUIRED"))))</f>
        <v>NO CONTACTS</v>
      </c>
    </row>
    <row r="22" spans="1:10" ht="40" customHeight="1">
      <c r="A22" s="22" t="s">
        <v>125</v>
      </c>
      <c r="B22" s="22" t="s">
        <v>126</v>
      </c>
      <c r="C22" s="22" t="s">
        <v>489</v>
      </c>
      <c r="D22" s="22" t="s">
        <v>487</v>
      </c>
      <c r="E22" s="22" t="s">
        <v>488</v>
      </c>
      <c r="F22" s="104"/>
      <c r="G22" s="109"/>
      <c r="H22" s="109"/>
      <c r="I22" s="27" t="str">
        <f>IF(F22=0,"",IF($C$9="Total direct staff hours",G22,IF($C$9="Average minutes per contact",F22*H22/60,"")))</f>
        <v/>
      </c>
      <c r="J22" s="24" t="str">
        <f>IF(F22=0,"NO CONTACTS",IF($C$9="","CHOOSE STAFF-TIME METHOD",IF($C$9="Total direct staff hours",IF(G22&gt;0,"OK","STAFF-TIME DATA REQUIRED"),IF(H22&gt;0,"OK","STAFF-TIME DATA REQUIRED"))))</f>
        <v>NO CONTACTS</v>
      </c>
    </row>
    <row r="23" spans="1:10" ht="40" customHeight="1">
      <c r="A23" s="22" t="s">
        <v>127</v>
      </c>
      <c r="B23" s="22" t="s">
        <v>128</v>
      </c>
      <c r="C23" s="22" t="s">
        <v>486</v>
      </c>
      <c r="D23" s="22" t="s">
        <v>487</v>
      </c>
      <c r="E23" s="22" t="s">
        <v>488</v>
      </c>
      <c r="F23" s="104"/>
      <c r="G23" s="109"/>
      <c r="H23" s="109"/>
      <c r="I23" s="27" t="str">
        <f>IF(F23=0,"",IF($C$10="Total direct staff hours",G23,IF($C$10="Average minutes per contact",F23*H23/60,"")))</f>
        <v/>
      </c>
      <c r="J23" s="24" t="str">
        <f>IF(F23=0,"NO CONTACTS",IF($C$10="","CHOOSE STAFF-TIME METHOD",IF($C$10="Total direct staff hours",IF(G23&gt;0,"OK","STAFF-TIME DATA REQUIRED"),IF(H23&gt;0,"OK","STAFF-TIME DATA REQUIRED"))))</f>
        <v>NO CONTACTS</v>
      </c>
    </row>
    <row r="24" spans="1:10" ht="40" customHeight="1">
      <c r="A24" s="22" t="s">
        <v>127</v>
      </c>
      <c r="B24" s="22" t="s">
        <v>128</v>
      </c>
      <c r="C24" s="22" t="s">
        <v>489</v>
      </c>
      <c r="D24" s="22" t="s">
        <v>487</v>
      </c>
      <c r="E24" s="22" t="s">
        <v>488</v>
      </c>
      <c r="F24" s="104"/>
      <c r="G24" s="109"/>
      <c r="H24" s="109"/>
      <c r="I24" s="27" t="str">
        <f>IF(F24=0,"",IF($C$10="Total direct staff hours",G24,IF($C$10="Average minutes per contact",F24*H24/60,"")))</f>
        <v/>
      </c>
      <c r="J24" s="24" t="str">
        <f>IF(F24=0,"NO CONTACTS",IF($C$10="","CHOOSE STAFF-TIME METHOD",IF($C$10="Total direct staff hours",IF(G24&gt;0,"OK","STAFF-TIME DATA REQUIRED"),IF(H24&gt;0,"OK","STAFF-TIME DATA REQUIRED"))))</f>
        <v>NO CONTACTS</v>
      </c>
    </row>
    <row r="25" spans="1:10" ht="40" customHeight="1">
      <c r="A25" s="22" t="s">
        <v>129</v>
      </c>
      <c r="B25" s="22" t="s">
        <v>131</v>
      </c>
      <c r="C25" s="22" t="s">
        <v>486</v>
      </c>
      <c r="D25" s="22" t="s">
        <v>487</v>
      </c>
      <c r="E25" s="22" t="s">
        <v>488</v>
      </c>
      <c r="F25" s="104"/>
      <c r="G25" s="109"/>
      <c r="H25" s="109"/>
      <c r="I25" s="27" t="str">
        <f>IF(F25=0,"",IF($C$11="Total direct staff hours",G25,IF($C$11="Average minutes per contact",F25*H25/60,"")))</f>
        <v/>
      </c>
      <c r="J25" s="24" t="str">
        <f>IF(F25=0,"NO CONTACTS",IF($C$11="","CHOOSE STAFF-TIME METHOD",IF($C$11="Total direct staff hours",IF(G25&gt;0,"OK","STAFF-TIME DATA REQUIRED"),IF(H25&gt;0,"OK","STAFF-TIME DATA REQUIRED"))))</f>
        <v>NO CONTACTS</v>
      </c>
    </row>
    <row r="26" spans="1:10" ht="40" customHeight="1">
      <c r="A26" s="22" t="s">
        <v>129</v>
      </c>
      <c r="B26" s="22" t="s">
        <v>131</v>
      </c>
      <c r="C26" s="22" t="s">
        <v>489</v>
      </c>
      <c r="D26" s="22" t="s">
        <v>487</v>
      </c>
      <c r="E26" s="22" t="s">
        <v>488</v>
      </c>
      <c r="F26" s="104"/>
      <c r="G26" s="109"/>
      <c r="H26" s="109"/>
      <c r="I26" s="27" t="str">
        <f>IF(F26=0,"",IF($C$11="Total direct staff hours",G26,IF($C$11="Average minutes per contact",F26*H26/60,"")))</f>
        <v/>
      </c>
      <c r="J26" s="24" t="str">
        <f>IF(F26=0,"NO CONTACTS",IF($C$11="","CHOOSE STAFF-TIME METHOD",IF($C$11="Total direct staff hours",IF(G26&gt;0,"OK","STAFF-TIME DATA REQUIRED"),IF(H26&gt;0,"OK","STAFF-TIME DATA REQUIRED"))))</f>
        <v>NO CONTACTS</v>
      </c>
    </row>
    <row r="27" spans="1:10" ht="40" customHeight="1">
      <c r="A27" s="22" t="s">
        <v>132</v>
      </c>
      <c r="B27" s="22" t="s">
        <v>133</v>
      </c>
      <c r="C27" s="22" t="s">
        <v>486</v>
      </c>
      <c r="D27" s="22" t="s">
        <v>487</v>
      </c>
      <c r="E27" s="22" t="s">
        <v>488</v>
      </c>
      <c r="F27" s="104"/>
      <c r="G27" s="109"/>
      <c r="H27" s="109"/>
      <c r="I27" s="27" t="str">
        <f>IF(F27=0,"",IF($C$12="Total direct staff hours",G27,IF($C$12="Average minutes per contact",F27*H27/60,"")))</f>
        <v/>
      </c>
      <c r="J27" s="24" t="str">
        <f>IF(F27=0,"NO CONTACTS",IF($C$12="","CHOOSE STAFF-TIME METHOD",IF($C$12="Total direct staff hours",IF(G27&gt;0,"OK","STAFF-TIME DATA REQUIRED"),IF(H27&gt;0,"OK","STAFF-TIME DATA REQUIRED"))))</f>
        <v>NO CONTACTS</v>
      </c>
    </row>
    <row r="28" spans="1:10" ht="40" customHeight="1">
      <c r="A28" s="22" t="s">
        <v>132</v>
      </c>
      <c r="B28" s="22" t="s">
        <v>133</v>
      </c>
      <c r="C28" s="22" t="s">
        <v>489</v>
      </c>
      <c r="D28" s="22" t="s">
        <v>487</v>
      </c>
      <c r="E28" s="22" t="s">
        <v>488</v>
      </c>
      <c r="F28" s="104"/>
      <c r="G28" s="109"/>
      <c r="H28" s="109"/>
      <c r="I28" s="27" t="str">
        <f>IF(F28=0,"",IF($C$12="Total direct staff hours",G28,IF($C$12="Average minutes per contact",F28*H28/60,"")))</f>
        <v/>
      </c>
      <c r="J28" s="24" t="str">
        <f>IF(F28=0,"NO CONTACTS",IF($C$12="","CHOOSE STAFF-TIME METHOD",IF($C$12="Total direct staff hours",IF(G28&gt;0,"OK","STAFF-TIME DATA REQUIRED"),IF(H28&gt;0,"OK","STAFF-TIME DATA REQUIRED"))))</f>
        <v>NO CONTACTS</v>
      </c>
    </row>
    <row r="29" spans="1:10" ht="40" customHeight="1">
      <c r="A29" s="22" t="s">
        <v>134</v>
      </c>
      <c r="B29" s="22" t="s">
        <v>135</v>
      </c>
      <c r="C29" s="22" t="s">
        <v>486</v>
      </c>
      <c r="D29" s="22" t="s">
        <v>487</v>
      </c>
      <c r="E29" s="22" t="s">
        <v>488</v>
      </c>
      <c r="F29" s="104"/>
      <c r="G29" s="109"/>
      <c r="H29" s="109"/>
      <c r="I29" s="27" t="str">
        <f>IF(F29=0,"",IF($C$13="Total direct staff hours",G29,IF($C$13="Average minutes per contact",F29*H29/60,"")))</f>
        <v/>
      </c>
      <c r="J29" s="24" t="str">
        <f>IF(F29=0,"NO CONTACTS",IF($C$13="","CHOOSE STAFF-TIME METHOD",IF($C$13="Total direct staff hours",IF(G29&gt;0,"OK","STAFF-TIME DATA REQUIRED"),IF(H29&gt;0,"OK","STAFF-TIME DATA REQUIRED"))))</f>
        <v>NO CONTACTS</v>
      </c>
    </row>
    <row r="30" spans="1:10" ht="40" customHeight="1">
      <c r="A30" s="22" t="s">
        <v>134</v>
      </c>
      <c r="B30" s="22" t="s">
        <v>135</v>
      </c>
      <c r="C30" s="22" t="s">
        <v>489</v>
      </c>
      <c r="D30" s="22" t="s">
        <v>487</v>
      </c>
      <c r="E30" s="22" t="s">
        <v>488</v>
      </c>
      <c r="F30" s="104"/>
      <c r="G30" s="109"/>
      <c r="H30" s="109"/>
      <c r="I30" s="27" t="str">
        <f>IF(F30=0,"",IF($C$13="Total direct staff hours",G30,IF($C$13="Average minutes per contact",F30*H30/60,"")))</f>
        <v/>
      </c>
      <c r="J30" s="24" t="str">
        <f>IF(F30=0,"NO CONTACTS",IF($C$13="","CHOOSE STAFF-TIME METHOD",IF($C$13="Total direct staff hours",IF(G30&gt;0,"OK","STAFF-TIME DATA REQUIRED"),IF(H30&gt;0,"OK","STAFF-TIME DATA REQUIRED"))))</f>
        <v>NO CONTACTS</v>
      </c>
    </row>
  </sheetData>
  <sheetProtection sheet="1" objects="1" scenarios="1" formatColumns="0" formatRows="0"/>
  <mergeCells count="6">
    <mergeCell ref="A16:J17"/>
    <mergeCell ref="A1:J1"/>
    <mergeCell ref="A2:J2"/>
    <mergeCell ref="A4:H4"/>
    <mergeCell ref="A5:H6"/>
    <mergeCell ref="A15:J15"/>
  </mergeCells>
  <dataValidations count="2">
    <dataValidation type="list" sqref="C8:C13" xr:uid="{00000000-0002-0000-0A00-000000000000}">
      <formula1>"Total direct staff hours,Average minutes per contact"</formula1>
    </dataValidation>
    <dataValidation type="decimal" operator="greaterThanOrEqual" sqref="F19:H30" xr:uid="{00000000-0002-0000-0A00-000001000000}">
      <formula1>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8"/>
  <sheetViews>
    <sheetView showGridLines="0" workbookViewId="0"/>
  </sheetViews>
  <sheetFormatPr baseColWidth="10" defaultColWidth="8.83203125" defaultRowHeight="14"/>
  <cols>
    <col min="1" max="1" width="40" customWidth="1"/>
    <col min="2" max="2" width="30" customWidth="1"/>
    <col min="3" max="3" width="42" customWidth="1"/>
    <col min="4" max="4" width="24" customWidth="1"/>
    <col min="5" max="5" width="13" customWidth="1"/>
    <col min="6" max="6" width="20" customWidth="1"/>
    <col min="7" max="7" width="48" customWidth="1"/>
  </cols>
  <sheetData>
    <row r="1" spans="1:7" ht="34" customHeight="1">
      <c r="A1" s="111" t="s">
        <v>39</v>
      </c>
      <c r="B1" s="111"/>
      <c r="C1" s="111"/>
      <c r="D1" s="111"/>
      <c r="E1" s="111"/>
      <c r="F1" s="111"/>
      <c r="G1" s="111"/>
    </row>
    <row r="2" spans="1:7" ht="28" customHeight="1">
      <c r="A2" s="112" t="s">
        <v>490</v>
      </c>
      <c r="B2" s="112"/>
      <c r="C2" s="112"/>
      <c r="D2" s="112"/>
      <c r="E2" s="112"/>
      <c r="F2" s="112"/>
      <c r="G2" s="112"/>
    </row>
    <row r="4" spans="1:7" ht="30" customHeight="1">
      <c r="A4" s="2" t="s">
        <v>491</v>
      </c>
      <c r="B4" s="2" t="s">
        <v>59</v>
      </c>
      <c r="C4" s="2" t="s">
        <v>492</v>
      </c>
      <c r="D4" s="2" t="s">
        <v>493</v>
      </c>
      <c r="E4" s="2" t="s">
        <v>494</v>
      </c>
      <c r="F4" s="2" t="s">
        <v>71</v>
      </c>
      <c r="G4" s="2" t="s">
        <v>495</v>
      </c>
    </row>
    <row r="5" spans="1:7" ht="30" customHeight="1">
      <c r="A5" s="3" t="s">
        <v>496</v>
      </c>
      <c r="B5" s="9">
        <f>IF('02 Hospice Setup'!B5="",1,0)+IF('02 Hospice Setup'!B6="",1,0)+IF('02 Hospice Setup'!E5="",1,0)+IF('02 Hospice Setup'!E7="",1,0)+IF('02 Hospice Setup'!H7="",1,0)+IF('02 Hospice Setup'!B12&lt;=0,1,0)</f>
        <v>6</v>
      </c>
      <c r="C5" s="9">
        <v>0</v>
      </c>
      <c r="D5" s="9">
        <f>B5-C5</f>
        <v>6</v>
      </c>
      <c r="E5" s="9">
        <v>0</v>
      </c>
      <c r="F5" s="9" t="str">
        <f>IF(B5=0,"OK","ERROR")</f>
        <v>ERROR</v>
      </c>
      <c r="G5" s="16" t="s">
        <v>497</v>
      </c>
    </row>
    <row r="6" spans="1:7" ht="30" customHeight="1">
      <c r="A6" s="3" t="s">
        <v>498</v>
      </c>
      <c r="B6" s="11">
        <f>'02 Hospice Setup'!B16</f>
        <v>0</v>
      </c>
      <c r="C6" s="11">
        <f>SUM('04 Service Costs'!L5:L31)+SUM('05 Support &amp; Income'!F5:F41)+SUM('06 Shared Cost Pools'!F5:F16)</f>
        <v>0</v>
      </c>
      <c r="D6" s="11">
        <f>B6-C6</f>
        <v>0</v>
      </c>
      <c r="E6" s="11">
        <v>1</v>
      </c>
      <c r="F6" s="9" t="str">
        <f>IF(ABS(D6)&lt;=E6,"OK","ERROR")</f>
        <v>OK</v>
      </c>
      <c r="G6" s="16"/>
    </row>
    <row r="7" spans="1:7" ht="30" customHeight="1">
      <c r="A7" s="3" t="s">
        <v>499</v>
      </c>
      <c r="B7" s="11">
        <f>C6</f>
        <v>0</v>
      </c>
      <c r="C7" s="11">
        <f>SUM('16 Calculations'!R5:R34)</f>
        <v>0</v>
      </c>
      <c r="D7" s="11">
        <f>B7-C7</f>
        <v>0</v>
      </c>
      <c r="E7" s="11">
        <v>1</v>
      </c>
      <c r="F7" s="9" t="str">
        <f>IF(ABS(D7)&lt;=E7,"OK","ERROR")</f>
        <v>OK</v>
      </c>
      <c r="G7" s="16"/>
    </row>
    <row r="8" spans="1:7" ht="30" customHeight="1">
      <c r="A8" s="3" t="s">
        <v>500</v>
      </c>
      <c r="B8" s="9">
        <f>COUNTIF('06 Shared Cost Pools'!H5:H16,"ERROR")+COUNTIF('06 Shared Cost Pools'!G21:G260,"ERROR*")</f>
        <v>0</v>
      </c>
      <c r="C8" s="9">
        <v>0</v>
      </c>
      <c r="D8" s="9">
        <f>B8-C8</f>
        <v>0</v>
      </c>
      <c r="E8" s="9">
        <v>0</v>
      </c>
      <c r="F8" s="9" t="str">
        <f>IF(B8=0,"OK","ERROR")</f>
        <v>OK</v>
      </c>
      <c r="G8" s="16" t="s">
        <v>501</v>
      </c>
    </row>
    <row r="9" spans="1:7" ht="30" customHeight="1">
      <c r="A9" s="3" t="s">
        <v>502</v>
      </c>
      <c r="B9" s="10">
        <f>SUM('08 Allocation Data'!L5:L34)</f>
        <v>0</v>
      </c>
      <c r="C9" s="10">
        <v>1</v>
      </c>
      <c r="D9" s="10">
        <f>C9-B9</f>
        <v>1</v>
      </c>
      <c r="E9" s="9">
        <v>0</v>
      </c>
      <c r="F9" s="9" t="str">
        <f>IF(B9&lt;=C9,"OK","ERROR")</f>
        <v>OK</v>
      </c>
      <c r="G9" s="16" t="s">
        <v>503</v>
      </c>
    </row>
    <row r="10" spans="1:7" ht="30" customHeight="1">
      <c r="A10" s="3" t="s">
        <v>504</v>
      </c>
      <c r="B10" s="9">
        <f>'04 Service Costs'!P8</f>
        <v>0</v>
      </c>
      <c r="C10" s="9">
        <v>0</v>
      </c>
      <c r="D10" s="9">
        <f t="shared" ref="D10:D21" si="0">B10-C10</f>
        <v>0</v>
      </c>
      <c r="E10" s="9">
        <v>0</v>
      </c>
      <c r="F10" s="9" t="str">
        <f>IF(B10=0,"OK","ERROR")</f>
        <v>OK</v>
      </c>
      <c r="G10" s="16"/>
    </row>
    <row r="11" spans="1:7" ht="30" customHeight="1">
      <c r="A11" s="3" t="s">
        <v>505</v>
      </c>
      <c r="B11" s="9">
        <f>'04 Service Costs'!P9</f>
        <v>0</v>
      </c>
      <c r="C11" s="9">
        <v>0</v>
      </c>
      <c r="D11" s="9">
        <f t="shared" si="0"/>
        <v>0</v>
      </c>
      <c r="E11" s="9">
        <v>0</v>
      </c>
      <c r="F11" s="9" t="str">
        <f>IF(B11=0,"OK","ERROR")</f>
        <v>OK</v>
      </c>
      <c r="G11" s="16" t="s">
        <v>506</v>
      </c>
    </row>
    <row r="12" spans="1:7" ht="30" customHeight="1">
      <c r="A12" s="3" t="s">
        <v>507</v>
      </c>
      <c r="B12" s="9">
        <f>COUNTIF('02 Hospice Setup'!N20:N22,"ERROR")</f>
        <v>0</v>
      </c>
      <c r="C12" s="9">
        <v>0</v>
      </c>
      <c r="D12" s="9">
        <f t="shared" si="0"/>
        <v>0</v>
      </c>
      <c r="E12" s="9">
        <v>0</v>
      </c>
      <c r="F12" s="9" t="str">
        <f>IF(B12=0,"OK","ERROR")</f>
        <v>OK</v>
      </c>
      <c r="G12" s="16" t="s">
        <v>508</v>
      </c>
    </row>
    <row r="13" spans="1:7" ht="30" customHeight="1">
      <c r="A13" s="3" t="s">
        <v>509</v>
      </c>
      <c r="B13" s="9">
        <f>IF(LEFT('03 Catering Adjustment'!B19,5)="ERROR",1,0)</f>
        <v>0</v>
      </c>
      <c r="C13" s="9">
        <v>0</v>
      </c>
      <c r="D13" s="9">
        <f t="shared" si="0"/>
        <v>0</v>
      </c>
      <c r="E13" s="9">
        <v>0</v>
      </c>
      <c r="F13" s="9" t="str">
        <f>IF(B13=0,"OK","ERROR")</f>
        <v>OK</v>
      </c>
      <c r="G13" s="16" t="s">
        <v>510</v>
      </c>
    </row>
    <row r="14" spans="1:7" ht="30" customHeight="1">
      <c r="A14" s="3" t="s">
        <v>81</v>
      </c>
      <c r="B14" s="9">
        <f>'02 Hospice Setup'!B15</f>
        <v>0</v>
      </c>
      <c r="C14" s="9">
        <v>0</v>
      </c>
      <c r="D14" s="9">
        <f t="shared" si="0"/>
        <v>0</v>
      </c>
      <c r="E14" s="9">
        <v>0</v>
      </c>
      <c r="F14" s="9" t="str">
        <f>IF(B14=0,"OK","WARNING")</f>
        <v>OK</v>
      </c>
      <c r="G14" s="16" t="s">
        <v>511</v>
      </c>
    </row>
    <row r="15" spans="1:7" ht="30" customHeight="1">
      <c r="A15" s="3" t="s">
        <v>512</v>
      </c>
      <c r="B15" s="9">
        <f>COUNTIF('07 Support Drivers'!H5:H17,"ERROR - SELECT DRIVER")+COUNTIF('07 Support Drivers'!H5:H17,"ERROR - EXPLANATION REQUIRED")+COUNTIF('07 Support Drivers'!H5:H17,"ERROR - NO DRIVER DATA")</f>
        <v>0</v>
      </c>
      <c r="C15" s="9">
        <v>0</v>
      </c>
      <c r="D15" s="9">
        <f t="shared" si="0"/>
        <v>0</v>
      </c>
      <c r="E15" s="9">
        <v>0</v>
      </c>
      <c r="F15" s="9" t="str">
        <f>IF(B15=0,"OK","ERROR")</f>
        <v>OK</v>
      </c>
      <c r="G15" s="16" t="s">
        <v>513</v>
      </c>
    </row>
    <row r="16" spans="1:7" ht="30" customHeight="1">
      <c r="A16" s="3" t="s">
        <v>514</v>
      </c>
      <c r="B16" s="9">
        <f>COUNTIF('10 Optional IPU Care Type'!$I$12:$I$14,"ERROR")+COUNTIF('10 Optional IPU Care Type'!$I$12:$I$14,"ERROR - SITE NOT ACTIVE")</f>
        <v>0</v>
      </c>
      <c r="C16" s="9">
        <v>0</v>
      </c>
      <c r="D16" s="9">
        <f t="shared" si="0"/>
        <v>0</v>
      </c>
      <c r="E16" s="9">
        <v>0</v>
      </c>
      <c r="F16" s="9" t="str">
        <f>IF(B16&gt;0,"ERROR",IF(COUNTIF('10 Optional IPU Care Type'!$I$12:$I$14,"WARNING - INCOMPLETE")&gt;0,"WARNING",IF(COUNTIF('10 Optional IPU Care Type'!$I$12:$I$14,"OK")&gt;0,"OK","NOT USED")))</f>
        <v>NOT USED</v>
      </c>
      <c r="G16" s="16" t="s">
        <v>515</v>
      </c>
    </row>
    <row r="17" spans="1:7" ht="30" customHeight="1">
      <c r="A17" s="3" t="s">
        <v>516</v>
      </c>
      <c r="B17" s="9">
        <f>COUNTIF('10 Optional IPU Care Type'!$G$20:$G$22,"ERROR - SITE NOT ACTIVE")+COUNTIF('10 Optional IPU Care Type'!$G$20:$G$22,"ERROR - REPORTING DATES MISSING")+COUNTIF('10 Optional IPU Care Type'!$M$28:$M$30,"ERROR")+COUNTIF('10 Optional IPU Care Type'!$M$28:$M$30,"ERROR - PERIOD SETTINGS")</f>
        <v>0</v>
      </c>
      <c r="C17" s="9">
        <v>0</v>
      </c>
      <c r="D17" s="9">
        <f t="shared" si="0"/>
        <v>0</v>
      </c>
      <c r="E17" s="9">
        <v>0</v>
      </c>
      <c r="F17" s="9" t="str">
        <f>IF(B17&gt;0,"ERROR",IF(COUNTIF('10 Optional IPU Care Type'!$G$20:$G$22,"WARNING - ADD START DATE")+COUNTIF('10 Optional IPU Care Type'!$M$28:$M$30,"WARNING - INCOMPLETE")+COUNTIF('10 Optional IPU Care Type'!$M$28:$M$30,"WARNING - COMPLETE ANNUAL ANALYSIS")&gt;0,"WARNING",IF(COUNTIF('10 Optional IPU Care Type'!$M$28:$M$30,"OK")&gt;0,"OK","NOT USED")))</f>
        <v>NOT USED</v>
      </c>
      <c r="G17" s="16" t="s">
        <v>517</v>
      </c>
    </row>
    <row r="18" spans="1:7" ht="30" customHeight="1">
      <c r="A18" s="3" t="s">
        <v>518</v>
      </c>
      <c r="B18" s="9">
        <f>COUNTIF('10 Optional IPU Care Type'!$I$36:$I$38,"ERROR")+COUNTIF('10 Optional IPU Care Type'!$I$36:$I$38,"ERROR - SELECT PERIOD")+COUNTIF('10 Optional IPU Care Type'!$I$36:$I$38,"ERROR - PERIOD SETTINGS")</f>
        <v>0</v>
      </c>
      <c r="C18" s="9">
        <v>0</v>
      </c>
      <c r="D18" s="9">
        <f t="shared" si="0"/>
        <v>0</v>
      </c>
      <c r="E18" s="9">
        <v>0</v>
      </c>
      <c r="F18" s="9" t="str">
        <f>IF(B18&gt;0,"ERROR",IF(COUNTIF('10 Optional IPU Care Type'!$I$36:$I$38,"WARNING - INCOMPLETE")&gt;0,"WARNING",IF(COUNTIF('10 Optional IPU Care Type'!$I$36:$I$38,"OK")&gt;0,"OK","NOT USED")))</f>
        <v>NOT USED</v>
      </c>
      <c r="G18" s="16" t="s">
        <v>519</v>
      </c>
    </row>
    <row r="19" spans="1:7" ht="30" customHeight="1">
      <c r="A19" s="3" t="s">
        <v>520</v>
      </c>
      <c r="B19" s="9">
        <f>COUNTIF('08 Allocation Data'!$P$5:$P$34,"ERROR - INACTIVE DATA")</f>
        <v>0</v>
      </c>
      <c r="C19" s="9">
        <v>0</v>
      </c>
      <c r="D19" s="9">
        <f t="shared" si="0"/>
        <v>0</v>
      </c>
      <c r="E19" s="9">
        <v>0</v>
      </c>
      <c r="F19" s="9" t="str">
        <f>IF(B19=0,"OK","ERROR")</f>
        <v>OK</v>
      </c>
      <c r="G19" s="16" t="s">
        <v>521</v>
      </c>
    </row>
    <row r="20" spans="1:7" ht="30" customHeight="1">
      <c r="A20" s="3" t="s">
        <v>522</v>
      </c>
      <c r="B20" s="9">
        <f>COUNTIFS('02 Hospice Setup'!R20:R22,"&lt;&gt;",'02 Hospice Setup'!T20:T22,"")</f>
        <v>0</v>
      </c>
      <c r="C20" s="9">
        <v>0</v>
      </c>
      <c r="D20" s="9">
        <f t="shared" si="0"/>
        <v>0</v>
      </c>
      <c r="E20" s="9">
        <v>0</v>
      </c>
      <c r="F20" s="9" t="str">
        <f>IF(B20=0,"OK","ERROR")</f>
        <v>OK</v>
      </c>
      <c r="G20" s="16" t="s">
        <v>523</v>
      </c>
    </row>
    <row r="21" spans="1:7" ht="30" customHeight="1">
      <c r="A21" s="3" t="s">
        <v>524</v>
      </c>
      <c r="B21" s="9">
        <f>COUNTIF(F5:F20,"ERROR")</f>
        <v>1</v>
      </c>
      <c r="C21" s="9">
        <v>0</v>
      </c>
      <c r="D21" s="9">
        <f t="shared" si="0"/>
        <v>1</v>
      </c>
      <c r="E21" s="9">
        <v>0</v>
      </c>
      <c r="F21" s="9" t="str">
        <f>IF(B21=0,"READY FOR REVIEW","ERRORS TO FIX")</f>
        <v>ERRORS TO FIX</v>
      </c>
      <c r="G21" s="16" t="s">
        <v>525</v>
      </c>
    </row>
    <row r="22" spans="1:7" ht="24" customHeight="1">
      <c r="A22" s="118" t="s">
        <v>526</v>
      </c>
      <c r="B22" s="118"/>
      <c r="C22" s="118"/>
      <c r="D22" s="118"/>
      <c r="E22" s="118"/>
      <c r="F22" s="118"/>
      <c r="G22" s="118"/>
    </row>
    <row r="23" spans="1:7" ht="30" customHeight="1">
      <c r="A23" s="2" t="s">
        <v>527</v>
      </c>
      <c r="B23" s="2" t="s">
        <v>528</v>
      </c>
      <c r="C23" s="2" t="s">
        <v>529</v>
      </c>
      <c r="D23" s="2" t="s">
        <v>4</v>
      </c>
    </row>
    <row r="24" spans="1:7" ht="30">
      <c r="A24" s="17" t="s">
        <v>530</v>
      </c>
      <c r="B24" s="17">
        <f>COUNTIF('16 Calculations'!V5:V34,"&gt;0.01")+COUNTIF('16 Calculations'!V5:V34,"&lt;-0.01")</f>
        <v>0</v>
      </c>
      <c r="C24" s="17" t="s">
        <v>531</v>
      </c>
      <c r="D24" s="17" t="s">
        <v>532</v>
      </c>
    </row>
    <row r="25" spans="1:7" ht="15">
      <c r="A25" s="17" t="s">
        <v>533</v>
      </c>
      <c r="B25" s="17" t="s">
        <v>534</v>
      </c>
      <c r="C25" s="17" t="s">
        <v>535</v>
      </c>
      <c r="D25" s="17" t="s">
        <v>536</v>
      </c>
    </row>
    <row r="26" spans="1:7" ht="15">
      <c r="A26" s="17" t="s">
        <v>537</v>
      </c>
      <c r="B26" s="17" t="s">
        <v>538</v>
      </c>
      <c r="C26" s="17" t="s">
        <v>539</v>
      </c>
      <c r="D26" s="17" t="s">
        <v>540</v>
      </c>
    </row>
    <row r="27" spans="1:7" ht="15">
      <c r="A27" s="17" t="s">
        <v>541</v>
      </c>
      <c r="B27" s="17" t="s">
        <v>542</v>
      </c>
      <c r="C27" s="17" t="s">
        <v>543</v>
      </c>
      <c r="D27" s="17" t="s">
        <v>544</v>
      </c>
    </row>
    <row r="28" spans="1:7" ht="15">
      <c r="A28" s="17" t="s">
        <v>545</v>
      </c>
      <c r="B28" s="17" t="s">
        <v>546</v>
      </c>
      <c r="C28" s="17" t="s">
        <v>547</v>
      </c>
      <c r="D28" s="17" t="s">
        <v>548</v>
      </c>
    </row>
  </sheetData>
  <sheetProtection sheet="1" objects="1" scenarios="1" formatColumns="0" formatRows="0"/>
  <mergeCells count="3">
    <mergeCell ref="A1:G1"/>
    <mergeCell ref="A2:G2"/>
    <mergeCell ref="A22:G2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1"/>
  <sheetViews>
    <sheetView showGridLines="0" workbookViewId="0"/>
  </sheetViews>
  <sheetFormatPr baseColWidth="10" defaultColWidth="8.83203125" defaultRowHeight="14"/>
  <cols>
    <col min="1" max="1" width="17" customWidth="1"/>
    <col min="2" max="2" width="38" customWidth="1"/>
    <col min="3" max="3" width="16" customWidth="1"/>
    <col min="4" max="5" width="15" customWidth="1"/>
    <col min="6" max="6" width="17" customWidth="1"/>
    <col min="7" max="8" width="13" customWidth="1"/>
    <col min="9" max="10" width="16" customWidth="1"/>
    <col min="11" max="11" width="13" customWidth="1"/>
    <col min="12" max="12" width="21" customWidth="1"/>
    <col min="13" max="13" width="24" customWidth="1"/>
    <col min="14" max="14" width="3" customWidth="1"/>
  </cols>
  <sheetData>
    <row r="1" spans="1:13" ht="34" customHeight="1">
      <c r="A1" s="111" t="s">
        <v>41</v>
      </c>
      <c r="B1" s="111"/>
      <c r="C1" s="111"/>
      <c r="D1" s="111"/>
      <c r="E1" s="111"/>
      <c r="F1" s="111"/>
      <c r="G1" s="111"/>
      <c r="H1" s="111"/>
      <c r="I1" s="111"/>
      <c r="J1" s="111"/>
      <c r="K1" s="111"/>
      <c r="L1" s="111"/>
      <c r="M1" s="111"/>
    </row>
    <row r="2" spans="1:13" ht="28" customHeight="1">
      <c r="A2" s="112" t="s">
        <v>549</v>
      </c>
      <c r="B2" s="112"/>
      <c r="C2" s="112"/>
      <c r="D2" s="112"/>
      <c r="E2" s="112"/>
      <c r="F2" s="112"/>
      <c r="G2" s="112"/>
      <c r="H2" s="112"/>
      <c r="I2" s="112"/>
      <c r="J2" s="112"/>
      <c r="K2" s="112"/>
      <c r="L2" s="112"/>
      <c r="M2" s="112"/>
    </row>
    <row r="4" spans="1:13" ht="24" customHeight="1">
      <c r="A4" s="118" t="s">
        <v>550</v>
      </c>
      <c r="B4" s="118"/>
      <c r="C4" s="118"/>
      <c r="D4" s="118"/>
      <c r="E4" s="118"/>
      <c r="F4" s="118"/>
      <c r="G4" s="118"/>
      <c r="H4" s="118"/>
      <c r="I4" s="118"/>
      <c r="J4" s="118"/>
      <c r="K4" s="118"/>
      <c r="L4" s="118"/>
      <c r="M4" s="118"/>
    </row>
    <row r="5" spans="1:13">
      <c r="A5" s="6" t="s">
        <v>551</v>
      </c>
      <c r="B5" s="6" t="str">
        <f>'12 Checks &amp; Completion'!F21</f>
        <v>ERRORS TO FIX</v>
      </c>
      <c r="C5" s="6" t="s">
        <v>552</v>
      </c>
      <c r="D5" s="7">
        <f>'02 Hospice Setup'!B16</f>
        <v>0</v>
      </c>
      <c r="E5" s="7" t="s">
        <v>553</v>
      </c>
      <c r="F5" s="7">
        <f>'12 Checks &amp; Completion'!C6</f>
        <v>0</v>
      </c>
      <c r="G5" s="6" t="s">
        <v>554</v>
      </c>
      <c r="H5" s="6" t="str">
        <f>'12 Checks &amp; Completion'!F6</f>
        <v>OK</v>
      </c>
      <c r="I5" s="6" t="s">
        <v>555</v>
      </c>
      <c r="J5" s="6" t="str">
        <f>'12 Checks &amp; Completion'!F7</f>
        <v>OK</v>
      </c>
    </row>
    <row r="6" spans="1:13">
      <c r="A6" s="6" t="s">
        <v>556</v>
      </c>
      <c r="B6" s="6"/>
      <c r="C6" s="6"/>
      <c r="D6" s="6"/>
      <c r="E6" s="6"/>
      <c r="F6" s="6"/>
      <c r="G6" s="6"/>
      <c r="H6" s="6"/>
      <c r="I6" s="6"/>
      <c r="J6" s="6"/>
    </row>
    <row r="7" spans="1:13">
      <c r="A7" s="6" t="s">
        <v>557</v>
      </c>
      <c r="B7" s="6" t="s">
        <v>558</v>
      </c>
      <c r="C7" s="6"/>
      <c r="D7" s="6"/>
      <c r="E7" s="6"/>
      <c r="F7" s="6"/>
      <c r="G7" s="6"/>
      <c r="H7" s="6"/>
      <c r="I7" s="6"/>
      <c r="J7" s="6"/>
    </row>
    <row r="10" spans="1:13" ht="54" customHeight="1">
      <c r="A10" s="2" t="s">
        <v>108</v>
      </c>
      <c r="B10" s="2" t="s">
        <v>376</v>
      </c>
      <c r="C10" s="2" t="s">
        <v>559</v>
      </c>
      <c r="D10" s="2" t="s">
        <v>560</v>
      </c>
      <c r="E10" s="2" t="s">
        <v>348</v>
      </c>
      <c r="F10" s="2" t="s">
        <v>561</v>
      </c>
      <c r="G10" s="2" t="s">
        <v>382</v>
      </c>
      <c r="H10" s="2" t="s">
        <v>386</v>
      </c>
      <c r="I10" s="2" t="s">
        <v>562</v>
      </c>
      <c r="J10" s="2" t="s">
        <v>563</v>
      </c>
      <c r="K10" s="2" t="s">
        <v>564</v>
      </c>
      <c r="L10" s="2" t="s">
        <v>565</v>
      </c>
      <c r="M10" s="2" t="s">
        <v>566</v>
      </c>
    </row>
    <row r="11" spans="1:13" ht="15">
      <c r="A11" s="15" t="s">
        <v>113</v>
      </c>
      <c r="B11" s="15" t="s">
        <v>567</v>
      </c>
      <c r="C11" s="54">
        <f>SUMIF('14 Detailed Results'!$A$5:$A$35,$A11,'14 Detailed Results'!$C$5:$C$35)</f>
        <v>0</v>
      </c>
      <c r="D11" s="54">
        <f>SUMIF('14 Detailed Results'!$A$5:$A$35,$A11,'14 Detailed Results'!$D$5:$D$35)</f>
        <v>0</v>
      </c>
      <c r="E11" s="54">
        <f>SUMIF('14 Detailed Results'!$A$5:$A$35,$A11,'14 Detailed Results'!$E$5:$E$35)</f>
        <v>0</v>
      </c>
      <c r="F11" s="54">
        <f>SUMIF('14 Detailed Results'!$A$5:$A$35,$A11,'14 Detailed Results'!$F$5:$F$35)</f>
        <v>0</v>
      </c>
      <c r="G11" s="57">
        <f>SUMIF('14 Detailed Results'!$A$5:$A$35,$A11,'14 Detailed Results'!$G$5:$G$35)</f>
        <v>0</v>
      </c>
      <c r="H11" s="57">
        <f>SUMIF('14 Detailed Results'!$A$5:$A$35,$A11,'14 Detailed Results'!$H$5:$H$35)</f>
        <v>0</v>
      </c>
      <c r="I11" s="54">
        <f>SUMIF('14 Detailed Results'!$A$5:$A$35,$A11,'14 Detailed Results'!$I$5:$I$35)</f>
        <v>0</v>
      </c>
      <c r="J11" s="54">
        <f>SUMIF('14 Detailed Results'!$A$5:$A$35,$A11,'14 Detailed Results'!$J$5:$J$35)</f>
        <v>0</v>
      </c>
      <c r="K11" s="61">
        <f>SUMIF('14 Detailed Results'!$A$5:$A$35,$A11,'14 Detailed Results'!$K$5:$K$35)</f>
        <v>0</v>
      </c>
      <c r="L11" s="57">
        <f>SUMIF('14 Detailed Results'!$A$5:$A$35,$A11,'14 Detailed Results'!$L$5:$L$35)</f>
        <v>0</v>
      </c>
      <c r="M11" s="54" t="str">
        <f>IF(SUMIF('14 Detailed Results'!$A$5:$A$35,$A11,'14 Detailed Results'!$L$5:$L$35)=0,"",SUMIF('14 Detailed Results'!$A$5:$A$35,$A11,'14 Detailed Results'!$M$5:$M$35))</f>
        <v/>
      </c>
    </row>
    <row r="12" spans="1:13">
      <c r="A12" s="3" t="s">
        <v>213</v>
      </c>
      <c r="B12" s="3" t="str">
        <f>"Adult inpatient — "&amp;'02 Hospice Setup'!$B$20</f>
        <v xml:space="preserve">Adult inpatient — </v>
      </c>
      <c r="C12" s="55">
        <f>SUMIF('14 Detailed Results'!$A$5:$A$35,$A12,'14 Detailed Results'!$C$5:$C$35)</f>
        <v>0</v>
      </c>
      <c r="D12" s="55">
        <f>SUMIF('14 Detailed Results'!$A$5:$A$35,$A12,'14 Detailed Results'!$D$5:$D$35)</f>
        <v>0</v>
      </c>
      <c r="E12" s="55">
        <f>SUMIF('14 Detailed Results'!$A$5:$A$35,$A12,'14 Detailed Results'!$E$5:$E$35)</f>
        <v>0</v>
      </c>
      <c r="F12" s="55">
        <f>SUMIF('14 Detailed Results'!$A$5:$A$35,$A12,'14 Detailed Results'!$F$5:$F$35)</f>
        <v>0</v>
      </c>
      <c r="G12" s="58">
        <f>SUMIF('14 Detailed Results'!$A$5:$A$35,$A12,'14 Detailed Results'!$G$5:$G$35)</f>
        <v>0</v>
      </c>
      <c r="H12" s="58">
        <f>SUMIF('14 Detailed Results'!$A$5:$A$35,$A12,'14 Detailed Results'!$H$5:$H$35)</f>
        <v>0</v>
      </c>
      <c r="I12" s="55">
        <f>SUMIF('14 Detailed Results'!$A$5:$A$35,$A12,'14 Detailed Results'!$I$5:$I$35)</f>
        <v>0</v>
      </c>
      <c r="J12" s="55">
        <f>SUMIF('14 Detailed Results'!$A$5:$A$35,$A12,'14 Detailed Results'!$J$5:$J$35)</f>
        <v>0</v>
      </c>
      <c r="K12" s="62">
        <f>SUMIF('14 Detailed Results'!$A$5:$A$35,$A12,'14 Detailed Results'!$K$5:$K$35)</f>
        <v>0</v>
      </c>
      <c r="L12" s="58">
        <f>SUMIF('14 Detailed Results'!$A$5:$A$35,$A12,'14 Detailed Results'!$L$5:$L$35)</f>
        <v>0</v>
      </c>
      <c r="M12" s="55" t="str">
        <f>IF(SUMIF('14 Detailed Results'!$A$5:$A$35,$A12,'14 Detailed Results'!$L$5:$L$35)=0,"",SUMIF('14 Detailed Results'!$A$5:$A$35,$A12,'14 Detailed Results'!$M$5:$M$35))</f>
        <v/>
      </c>
    </row>
    <row r="13" spans="1:13">
      <c r="A13" s="3" t="s">
        <v>214</v>
      </c>
      <c r="B13" s="3" t="str">
        <f>"Adult inpatient — "&amp;'02 Hospice Setup'!$B$21</f>
        <v xml:space="preserve">Adult inpatient — </v>
      </c>
      <c r="C13" s="55">
        <f>SUMIF('14 Detailed Results'!$A$5:$A$35,$A13,'14 Detailed Results'!$C$5:$C$35)</f>
        <v>0</v>
      </c>
      <c r="D13" s="55">
        <f>SUMIF('14 Detailed Results'!$A$5:$A$35,$A13,'14 Detailed Results'!$D$5:$D$35)</f>
        <v>0</v>
      </c>
      <c r="E13" s="55">
        <f>SUMIF('14 Detailed Results'!$A$5:$A$35,$A13,'14 Detailed Results'!$E$5:$E$35)</f>
        <v>0</v>
      </c>
      <c r="F13" s="55">
        <f>SUMIF('14 Detailed Results'!$A$5:$A$35,$A13,'14 Detailed Results'!$F$5:$F$35)</f>
        <v>0</v>
      </c>
      <c r="G13" s="58">
        <f>SUMIF('14 Detailed Results'!$A$5:$A$35,$A13,'14 Detailed Results'!$G$5:$G$35)</f>
        <v>0</v>
      </c>
      <c r="H13" s="58">
        <f>SUMIF('14 Detailed Results'!$A$5:$A$35,$A13,'14 Detailed Results'!$H$5:$H$35)</f>
        <v>0</v>
      </c>
      <c r="I13" s="55">
        <f>SUMIF('14 Detailed Results'!$A$5:$A$35,$A13,'14 Detailed Results'!$I$5:$I$35)</f>
        <v>0</v>
      </c>
      <c r="J13" s="55">
        <f>SUMIF('14 Detailed Results'!$A$5:$A$35,$A13,'14 Detailed Results'!$J$5:$J$35)</f>
        <v>0</v>
      </c>
      <c r="K13" s="62">
        <f>SUMIF('14 Detailed Results'!$A$5:$A$35,$A13,'14 Detailed Results'!$K$5:$K$35)</f>
        <v>0</v>
      </c>
      <c r="L13" s="58">
        <f>SUMIF('14 Detailed Results'!$A$5:$A$35,$A13,'14 Detailed Results'!$L$5:$L$35)</f>
        <v>0</v>
      </c>
      <c r="M13" s="55" t="str">
        <f>IF(SUMIF('14 Detailed Results'!$A$5:$A$35,$A13,'14 Detailed Results'!$L$5:$L$35)=0,"",SUMIF('14 Detailed Results'!$A$5:$A$35,$A13,'14 Detailed Results'!$M$5:$M$35))</f>
        <v/>
      </c>
    </row>
    <row r="14" spans="1:13">
      <c r="A14" s="3" t="s">
        <v>215</v>
      </c>
      <c r="B14" s="3" t="str">
        <f>"Adult inpatient — "&amp;'02 Hospice Setup'!$B$22</f>
        <v xml:space="preserve">Adult inpatient — </v>
      </c>
      <c r="C14" s="55">
        <f>SUMIF('14 Detailed Results'!$A$5:$A$35,$A14,'14 Detailed Results'!$C$5:$C$35)</f>
        <v>0</v>
      </c>
      <c r="D14" s="55">
        <f>SUMIF('14 Detailed Results'!$A$5:$A$35,$A14,'14 Detailed Results'!$D$5:$D$35)</f>
        <v>0</v>
      </c>
      <c r="E14" s="55">
        <f>SUMIF('14 Detailed Results'!$A$5:$A$35,$A14,'14 Detailed Results'!$E$5:$E$35)</f>
        <v>0</v>
      </c>
      <c r="F14" s="55">
        <f>SUMIF('14 Detailed Results'!$A$5:$A$35,$A14,'14 Detailed Results'!$F$5:$F$35)</f>
        <v>0</v>
      </c>
      <c r="G14" s="58">
        <f>SUMIF('14 Detailed Results'!$A$5:$A$35,$A14,'14 Detailed Results'!$G$5:$G$35)</f>
        <v>0</v>
      </c>
      <c r="H14" s="58">
        <f>SUMIF('14 Detailed Results'!$A$5:$A$35,$A14,'14 Detailed Results'!$H$5:$H$35)</f>
        <v>0</v>
      </c>
      <c r="I14" s="55">
        <f>SUMIF('14 Detailed Results'!$A$5:$A$35,$A14,'14 Detailed Results'!$I$5:$I$35)</f>
        <v>0</v>
      </c>
      <c r="J14" s="55">
        <f>SUMIF('14 Detailed Results'!$A$5:$A$35,$A14,'14 Detailed Results'!$J$5:$J$35)</f>
        <v>0</v>
      </c>
      <c r="K14" s="62">
        <f>SUMIF('14 Detailed Results'!$A$5:$A$35,$A14,'14 Detailed Results'!$K$5:$K$35)</f>
        <v>0</v>
      </c>
      <c r="L14" s="58">
        <f>SUMIF('14 Detailed Results'!$A$5:$A$35,$A14,'14 Detailed Results'!$L$5:$L$35)</f>
        <v>0</v>
      </c>
      <c r="M14" s="55" t="str">
        <f>IF(SUMIF('14 Detailed Results'!$A$5:$A$35,$A14,'14 Detailed Results'!$L$5:$L$35)=0,"",SUMIF('14 Detailed Results'!$A$5:$A$35,$A14,'14 Detailed Results'!$M$5:$M$35))</f>
        <v/>
      </c>
    </row>
    <row r="15" spans="1:13">
      <c r="A15" s="3" t="s">
        <v>117</v>
      </c>
      <c r="B15" s="3" t="s">
        <v>119</v>
      </c>
      <c r="C15" s="55">
        <f>SUMIF('14 Detailed Results'!$A$5:$A$35,$A15,'14 Detailed Results'!$C$5:$C$35)</f>
        <v>0</v>
      </c>
      <c r="D15" s="55">
        <f>SUMIF('14 Detailed Results'!$A$5:$A$35,$A15,'14 Detailed Results'!$D$5:$D$35)</f>
        <v>0</v>
      </c>
      <c r="E15" s="55">
        <f>SUMIF('14 Detailed Results'!$A$5:$A$35,$A15,'14 Detailed Results'!$E$5:$E$35)</f>
        <v>0</v>
      </c>
      <c r="F15" s="55">
        <f>SUMIF('14 Detailed Results'!$A$5:$A$35,$A15,'14 Detailed Results'!$F$5:$F$35)</f>
        <v>0</v>
      </c>
      <c r="G15" s="58" t="str">
        <f>IF('14 Detailed Results'!G9="","",'14 Detailed Results'!G9)</f>
        <v/>
      </c>
      <c r="H15" s="58">
        <f>SUMIF('14 Detailed Results'!$A$5:$A$35,$A15,'14 Detailed Results'!$H$5:$H$35)</f>
        <v>0</v>
      </c>
      <c r="I15" s="59" t="str">
        <f>IF('14 Detailed Results'!I9="","",'14 Detailed Results'!I9)</f>
        <v/>
      </c>
      <c r="J15" s="59">
        <f>SUMIF('14 Detailed Results'!$A$5:$A$35,$A15,'14 Detailed Results'!$J$5:$J$35)</f>
        <v>0</v>
      </c>
      <c r="K15" s="62" t="str">
        <f>IF('14 Detailed Results'!K9="","",'14 Detailed Results'!K9)</f>
        <v/>
      </c>
      <c r="L15" s="58">
        <f>SUMIF('14 Detailed Results'!$A$5:$A$35,$A15,'14 Detailed Results'!$L$5:$L$35)</f>
        <v>0</v>
      </c>
      <c r="M15" s="55" t="str">
        <f>IF(SUMIF('14 Detailed Results'!$A$5:$A$35,$A15,'14 Detailed Results'!$L$5:$L$35)=0,"",SUMIF('14 Detailed Results'!$A$5:$A$35,$A15,'14 Detailed Results'!$M$5:$M$35))</f>
        <v/>
      </c>
    </row>
    <row r="16" spans="1:13">
      <c r="A16" s="3" t="s">
        <v>120</v>
      </c>
      <c r="B16" s="3" t="s">
        <v>121</v>
      </c>
      <c r="C16" s="55">
        <f>SUMIF('14 Detailed Results'!$A$5:$A$35,$A16,'14 Detailed Results'!$C$5:$C$35)</f>
        <v>0</v>
      </c>
      <c r="D16" s="55">
        <f>SUMIF('14 Detailed Results'!$A$5:$A$35,$A16,'14 Detailed Results'!$D$5:$D$35)</f>
        <v>0</v>
      </c>
      <c r="E16" s="55">
        <f>SUMIF('14 Detailed Results'!$A$5:$A$35,$A16,'14 Detailed Results'!$E$5:$E$35)</f>
        <v>0</v>
      </c>
      <c r="F16" s="55">
        <f>SUMIF('14 Detailed Results'!$A$5:$A$35,$A16,'14 Detailed Results'!$F$5:$F$35)</f>
        <v>0</v>
      </c>
      <c r="G16" s="58">
        <f>SUMIF('14 Detailed Results'!$A$5:$A$35,$A16,'14 Detailed Results'!$G$5:$G$35)</f>
        <v>0</v>
      </c>
      <c r="H16" s="58">
        <f>SUMIF('14 Detailed Results'!$A$5:$A$35,$A16,'14 Detailed Results'!$H$5:$H$35)</f>
        <v>0</v>
      </c>
      <c r="I16" s="59">
        <f>SUMIF('14 Detailed Results'!$A$5:$A$35,$A16,'14 Detailed Results'!$I$5:$I$35)</f>
        <v>0</v>
      </c>
      <c r="J16" s="59">
        <f>SUMIF('14 Detailed Results'!$A$5:$A$35,$A16,'14 Detailed Results'!$J$5:$J$35)</f>
        <v>0</v>
      </c>
      <c r="K16" s="62">
        <f>SUMIF('14 Detailed Results'!$A$5:$A$35,$A16,'14 Detailed Results'!$K$5:$K$35)</f>
        <v>0</v>
      </c>
      <c r="L16" s="58">
        <f>SUMIF('14 Detailed Results'!$A$5:$A$35,$A16,'14 Detailed Results'!$L$5:$L$35)</f>
        <v>0</v>
      </c>
      <c r="M16" s="55" t="str">
        <f>IF(SUMIF('14 Detailed Results'!$A$5:$A$35,$A16,'14 Detailed Results'!$L$5:$L$35)=0,"",SUMIF('14 Detailed Results'!$A$5:$A$35,$A16,'14 Detailed Results'!$M$5:$M$35))</f>
        <v/>
      </c>
    </row>
    <row r="17" spans="1:13" ht="42" customHeight="1">
      <c r="A17" s="3" t="s">
        <v>122</v>
      </c>
      <c r="B17" s="3" t="s">
        <v>124</v>
      </c>
      <c r="C17" s="55">
        <f>SUMIF('14 Detailed Results'!$A$5:$A$35,$A17,'14 Detailed Results'!$C$5:$C$35)</f>
        <v>0</v>
      </c>
      <c r="D17" s="55">
        <f>SUMIF('14 Detailed Results'!$A$5:$A$35,$A17,'14 Detailed Results'!$D$5:$D$35)</f>
        <v>0</v>
      </c>
      <c r="E17" s="55">
        <f>SUMIF('14 Detailed Results'!$A$5:$A$35,$A17,'14 Detailed Results'!$E$5:$E$35)</f>
        <v>0</v>
      </c>
      <c r="F17" s="55">
        <f>SUMIF('14 Detailed Results'!$A$5:$A$35,$A17,'14 Detailed Results'!$F$5:$F$35)</f>
        <v>0</v>
      </c>
      <c r="G17" s="58">
        <f>SUMIF('14 Detailed Results'!$A$5:$A$35,$A17,'14 Detailed Results'!$G$5:$G$35)</f>
        <v>0</v>
      </c>
      <c r="H17" s="58">
        <f>SUMIF('14 Detailed Results'!$A$5:$A$35,$A17,'14 Detailed Results'!$H$5:$H$35)</f>
        <v>0</v>
      </c>
      <c r="I17" s="59">
        <f>SUMIF('14 Detailed Results'!$A$5:$A$35,$A17,'14 Detailed Results'!$I$5:$I$35)</f>
        <v>0</v>
      </c>
      <c r="J17" s="59">
        <f>SUMIF('14 Detailed Results'!$A$5:$A$35,$A17,'14 Detailed Results'!$J$5:$J$35)</f>
        <v>0</v>
      </c>
      <c r="K17" s="62">
        <f>SUMIF('14 Detailed Results'!$A$5:$A$35,$A17,'14 Detailed Results'!$K$5:$K$35)</f>
        <v>0</v>
      </c>
      <c r="L17" s="58">
        <f>SUMIF('14 Detailed Results'!$A$5:$A$35,$A17,'14 Detailed Results'!$L$5:$L$35)</f>
        <v>0</v>
      </c>
      <c r="M17" s="55" t="str">
        <f>IF(SUMIF('14 Detailed Results'!$A$5:$A$35,$A17,'14 Detailed Results'!$L$5:$L$35)=0,"",SUMIF('14 Detailed Results'!$A$5:$A$35,$A17,'14 Detailed Results'!$M$5:$M$35))</f>
        <v/>
      </c>
    </row>
    <row r="18" spans="1:13" ht="42" customHeight="1">
      <c r="A18" s="3" t="s">
        <v>125</v>
      </c>
      <c r="B18" s="3" t="s">
        <v>126</v>
      </c>
      <c r="C18" s="55">
        <f>SUMIF('14 Detailed Results'!$A$5:$A$35,$A18,'14 Detailed Results'!$C$5:$C$35)</f>
        <v>0</v>
      </c>
      <c r="D18" s="55">
        <f>SUMIF('14 Detailed Results'!$A$5:$A$35,$A18,'14 Detailed Results'!$D$5:$D$35)</f>
        <v>0</v>
      </c>
      <c r="E18" s="55">
        <f>SUMIF('14 Detailed Results'!$A$5:$A$35,$A18,'14 Detailed Results'!$E$5:$E$35)</f>
        <v>0</v>
      </c>
      <c r="F18" s="55">
        <f>SUMIF('14 Detailed Results'!$A$5:$A$35,$A18,'14 Detailed Results'!$F$5:$F$35)</f>
        <v>0</v>
      </c>
      <c r="G18" s="58">
        <f>SUMIF('14 Detailed Results'!$A$5:$A$35,$A18,'14 Detailed Results'!$G$5:$G$35)</f>
        <v>0</v>
      </c>
      <c r="H18" s="58">
        <f>SUMIF('14 Detailed Results'!$A$5:$A$35,$A18,'14 Detailed Results'!$H$5:$H$35)</f>
        <v>0</v>
      </c>
      <c r="I18" s="59">
        <f>SUMIF('14 Detailed Results'!$A$5:$A$35,$A18,'14 Detailed Results'!$I$5:$I$35)</f>
        <v>0</v>
      </c>
      <c r="J18" s="59">
        <f>SUMIF('14 Detailed Results'!$A$5:$A$35,$A18,'14 Detailed Results'!$J$5:$J$35)</f>
        <v>0</v>
      </c>
      <c r="K18" s="62">
        <f>SUMIF('14 Detailed Results'!$A$5:$A$35,$A18,'14 Detailed Results'!$K$5:$K$35)</f>
        <v>0</v>
      </c>
      <c r="L18" s="58">
        <f>SUMIF('14 Detailed Results'!$A$5:$A$35,$A18,'14 Detailed Results'!$L$5:$L$35)</f>
        <v>0</v>
      </c>
      <c r="M18" s="55" t="str">
        <f>IF(SUMIF('14 Detailed Results'!$A$5:$A$35,$A18,'14 Detailed Results'!$L$5:$L$35)=0,"",SUMIF('14 Detailed Results'!$A$5:$A$35,$A18,'14 Detailed Results'!$M$5:$M$35))</f>
        <v/>
      </c>
    </row>
    <row r="19" spans="1:13" ht="42" customHeight="1">
      <c r="A19" s="3" t="s">
        <v>127</v>
      </c>
      <c r="B19" s="3" t="s">
        <v>128</v>
      </c>
      <c r="C19" s="55">
        <f>SUMIF('14 Detailed Results'!$A$5:$A$35,$A19,'14 Detailed Results'!$C$5:$C$35)</f>
        <v>0</v>
      </c>
      <c r="D19" s="55">
        <f>SUMIF('14 Detailed Results'!$A$5:$A$35,$A19,'14 Detailed Results'!$D$5:$D$35)</f>
        <v>0</v>
      </c>
      <c r="E19" s="55">
        <f>SUMIF('14 Detailed Results'!$A$5:$A$35,$A19,'14 Detailed Results'!$E$5:$E$35)</f>
        <v>0</v>
      </c>
      <c r="F19" s="55">
        <f>SUMIF('14 Detailed Results'!$A$5:$A$35,$A19,'14 Detailed Results'!$F$5:$F$35)</f>
        <v>0</v>
      </c>
      <c r="G19" s="58">
        <f>SUMIF('14 Detailed Results'!$A$5:$A$35,$A19,'14 Detailed Results'!$G$5:$G$35)</f>
        <v>0</v>
      </c>
      <c r="H19" s="58">
        <f>SUMIF('14 Detailed Results'!$A$5:$A$35,$A19,'14 Detailed Results'!$H$5:$H$35)</f>
        <v>0</v>
      </c>
      <c r="I19" s="59">
        <f>SUMIF('14 Detailed Results'!$A$5:$A$35,$A19,'14 Detailed Results'!$I$5:$I$35)</f>
        <v>0</v>
      </c>
      <c r="J19" s="59">
        <f>SUMIF('14 Detailed Results'!$A$5:$A$35,$A19,'14 Detailed Results'!$J$5:$J$35)</f>
        <v>0</v>
      </c>
      <c r="K19" s="62">
        <f>SUMIF('14 Detailed Results'!$A$5:$A$35,$A19,'14 Detailed Results'!$K$5:$K$35)</f>
        <v>0</v>
      </c>
      <c r="L19" s="58">
        <f>SUMIF('14 Detailed Results'!$A$5:$A$35,$A19,'14 Detailed Results'!$L$5:$L$35)</f>
        <v>0</v>
      </c>
      <c r="M19" s="55" t="str">
        <f>IF(SUMIF('14 Detailed Results'!$A$5:$A$35,$A19,'14 Detailed Results'!$L$5:$L$35)=0,"",SUMIF('14 Detailed Results'!$A$5:$A$35,$A19,'14 Detailed Results'!$M$5:$M$35))</f>
        <v/>
      </c>
    </row>
    <row r="20" spans="1:13" ht="42" customHeight="1">
      <c r="A20" s="3" t="s">
        <v>129</v>
      </c>
      <c r="B20" s="3" t="s">
        <v>131</v>
      </c>
      <c r="C20" s="55">
        <f>SUMIF('14 Detailed Results'!$A$5:$A$35,$A20,'14 Detailed Results'!$C$5:$C$35)</f>
        <v>0</v>
      </c>
      <c r="D20" s="55">
        <f>SUMIF('14 Detailed Results'!$A$5:$A$35,$A20,'14 Detailed Results'!$D$5:$D$35)</f>
        <v>0</v>
      </c>
      <c r="E20" s="55">
        <f>SUMIF('14 Detailed Results'!$A$5:$A$35,$A20,'14 Detailed Results'!$E$5:$E$35)</f>
        <v>0</v>
      </c>
      <c r="F20" s="55">
        <f>SUMIF('14 Detailed Results'!$A$5:$A$35,$A20,'14 Detailed Results'!$F$5:$F$35)</f>
        <v>0</v>
      </c>
      <c r="G20" s="58">
        <f>SUMIF('14 Detailed Results'!$A$5:$A$35,$A20,'14 Detailed Results'!$G$5:$G$35)</f>
        <v>0</v>
      </c>
      <c r="H20" s="58">
        <f>SUMIF('14 Detailed Results'!$A$5:$A$35,$A20,'14 Detailed Results'!$H$5:$H$35)</f>
        <v>0</v>
      </c>
      <c r="I20" s="59">
        <f>SUMIF('14 Detailed Results'!$A$5:$A$35,$A20,'14 Detailed Results'!$I$5:$I$35)</f>
        <v>0</v>
      </c>
      <c r="J20" s="59">
        <f>SUMIF('14 Detailed Results'!$A$5:$A$35,$A20,'14 Detailed Results'!$J$5:$J$35)</f>
        <v>0</v>
      </c>
      <c r="K20" s="62">
        <f>SUMIF('14 Detailed Results'!$A$5:$A$35,$A20,'14 Detailed Results'!$K$5:$K$35)</f>
        <v>0</v>
      </c>
      <c r="L20" s="58">
        <f>SUMIF('14 Detailed Results'!$A$5:$A$35,$A20,'14 Detailed Results'!$L$5:$L$35)</f>
        <v>0</v>
      </c>
      <c r="M20" s="55" t="str">
        <f>IF(SUMIF('14 Detailed Results'!$A$5:$A$35,$A20,'14 Detailed Results'!$L$5:$L$35)=0,"",SUMIF('14 Detailed Results'!$A$5:$A$35,$A20,'14 Detailed Results'!$M$5:$M$35))</f>
        <v/>
      </c>
    </row>
    <row r="21" spans="1:13" ht="42" customHeight="1">
      <c r="A21" s="3" t="s">
        <v>132</v>
      </c>
      <c r="B21" s="3" t="s">
        <v>133</v>
      </c>
      <c r="C21" s="55">
        <f>SUMIF('14 Detailed Results'!$A$5:$A$35,$A21,'14 Detailed Results'!$C$5:$C$35)</f>
        <v>0</v>
      </c>
      <c r="D21" s="55">
        <f>SUMIF('14 Detailed Results'!$A$5:$A$35,$A21,'14 Detailed Results'!$D$5:$D$35)</f>
        <v>0</v>
      </c>
      <c r="E21" s="55">
        <f>SUMIF('14 Detailed Results'!$A$5:$A$35,$A21,'14 Detailed Results'!$E$5:$E$35)</f>
        <v>0</v>
      </c>
      <c r="F21" s="55">
        <f>SUMIF('14 Detailed Results'!$A$5:$A$35,$A21,'14 Detailed Results'!$F$5:$F$35)</f>
        <v>0</v>
      </c>
      <c r="G21" s="58">
        <f>SUMIF('14 Detailed Results'!$A$5:$A$35,$A21,'14 Detailed Results'!$G$5:$G$35)</f>
        <v>0</v>
      </c>
      <c r="H21" s="58">
        <f>SUMIF('14 Detailed Results'!$A$5:$A$35,$A21,'14 Detailed Results'!$H$5:$H$35)</f>
        <v>0</v>
      </c>
      <c r="I21" s="59">
        <f>SUMIF('14 Detailed Results'!$A$5:$A$35,$A21,'14 Detailed Results'!$I$5:$I$35)</f>
        <v>0</v>
      </c>
      <c r="J21" s="59">
        <f>SUMIF('14 Detailed Results'!$A$5:$A$35,$A21,'14 Detailed Results'!$J$5:$J$35)</f>
        <v>0</v>
      </c>
      <c r="K21" s="62">
        <f>SUMIF('14 Detailed Results'!$A$5:$A$35,$A21,'14 Detailed Results'!$K$5:$K$35)</f>
        <v>0</v>
      </c>
      <c r="L21" s="58">
        <f>SUMIF('14 Detailed Results'!$A$5:$A$35,$A21,'14 Detailed Results'!$L$5:$L$35)</f>
        <v>0</v>
      </c>
      <c r="M21" s="55" t="str">
        <f>IF(SUMIF('14 Detailed Results'!$A$5:$A$35,$A21,'14 Detailed Results'!$L$5:$L$35)=0,"",SUMIF('14 Detailed Results'!$A$5:$A$35,$A21,'14 Detailed Results'!$M$5:$M$35))</f>
        <v/>
      </c>
    </row>
    <row r="22" spans="1:13" ht="42" customHeight="1">
      <c r="A22" s="3" t="s">
        <v>134</v>
      </c>
      <c r="B22" s="3" t="s">
        <v>135</v>
      </c>
      <c r="C22" s="55">
        <f>SUMIF('14 Detailed Results'!$A$5:$A$35,$A22,'14 Detailed Results'!$C$5:$C$35)</f>
        <v>0</v>
      </c>
      <c r="D22" s="55">
        <f>SUMIF('14 Detailed Results'!$A$5:$A$35,$A22,'14 Detailed Results'!$D$5:$D$35)</f>
        <v>0</v>
      </c>
      <c r="E22" s="55">
        <f>SUMIF('14 Detailed Results'!$A$5:$A$35,$A22,'14 Detailed Results'!$E$5:$E$35)</f>
        <v>0</v>
      </c>
      <c r="F22" s="55">
        <f>SUMIF('14 Detailed Results'!$A$5:$A$35,$A22,'14 Detailed Results'!$F$5:$F$35)</f>
        <v>0</v>
      </c>
      <c r="G22" s="58">
        <f>SUMIF('14 Detailed Results'!$A$5:$A$35,$A22,'14 Detailed Results'!$G$5:$G$35)</f>
        <v>0</v>
      </c>
      <c r="H22" s="58">
        <f>SUMIF('14 Detailed Results'!$A$5:$A$35,$A22,'14 Detailed Results'!$H$5:$H$35)</f>
        <v>0</v>
      </c>
      <c r="I22" s="59">
        <f>SUMIF('14 Detailed Results'!$A$5:$A$35,$A22,'14 Detailed Results'!$I$5:$I$35)</f>
        <v>0</v>
      </c>
      <c r="J22" s="59">
        <f>SUMIF('14 Detailed Results'!$A$5:$A$35,$A22,'14 Detailed Results'!$J$5:$J$35)</f>
        <v>0</v>
      </c>
      <c r="K22" s="62">
        <f>SUMIF('14 Detailed Results'!$A$5:$A$35,$A22,'14 Detailed Results'!$K$5:$K$35)</f>
        <v>0</v>
      </c>
      <c r="L22" s="58">
        <f>SUMIF('14 Detailed Results'!$A$5:$A$35,$A22,'14 Detailed Results'!$L$5:$L$35)</f>
        <v>0</v>
      </c>
      <c r="M22" s="55" t="str">
        <f>IF(SUMIF('14 Detailed Results'!$A$5:$A$35,$A22,'14 Detailed Results'!$L$5:$L$35)=0,"",SUMIF('14 Detailed Results'!$A$5:$A$35,$A22,'14 Detailed Results'!$M$5:$M$35))</f>
        <v/>
      </c>
    </row>
    <row r="23" spans="1:13" ht="42" customHeight="1">
      <c r="A23" s="3" t="s">
        <v>136</v>
      </c>
      <c r="B23" s="3" t="s">
        <v>137</v>
      </c>
      <c r="C23" s="55">
        <f>SUMIF('14 Detailed Results'!$A$5:$A$35,$A23,'14 Detailed Results'!$C$5:$C$35)</f>
        <v>0</v>
      </c>
      <c r="D23" s="55">
        <f>SUMIF('14 Detailed Results'!$A$5:$A$35,$A23,'14 Detailed Results'!$D$5:$D$35)</f>
        <v>0</v>
      </c>
      <c r="E23" s="55">
        <f>SUMIF('14 Detailed Results'!$A$5:$A$35,$A23,'14 Detailed Results'!$E$5:$E$35)</f>
        <v>0</v>
      </c>
      <c r="F23" s="55">
        <f>SUMIF('14 Detailed Results'!$A$5:$A$35,$A23,'14 Detailed Results'!$F$5:$F$35)</f>
        <v>0</v>
      </c>
      <c r="G23" s="58">
        <f>SUMIF('14 Detailed Results'!$A$5:$A$35,$A23,'14 Detailed Results'!$G$5:$G$35)</f>
        <v>0</v>
      </c>
      <c r="H23" s="58">
        <f>SUMIF('14 Detailed Results'!$A$5:$A$35,$A23,'14 Detailed Results'!$H$5:$H$35)</f>
        <v>0</v>
      </c>
      <c r="I23" s="59">
        <f>SUMIF('14 Detailed Results'!$A$5:$A$35,$A23,'14 Detailed Results'!$I$5:$I$35)</f>
        <v>0</v>
      </c>
      <c r="J23" s="59">
        <f>SUMIF('14 Detailed Results'!$A$5:$A$35,$A23,'14 Detailed Results'!$J$5:$J$35)</f>
        <v>0</v>
      </c>
      <c r="K23" s="62">
        <f>SUMIF('14 Detailed Results'!$A$5:$A$35,$A23,'14 Detailed Results'!$K$5:$K$35)</f>
        <v>0</v>
      </c>
      <c r="L23" s="58">
        <f>SUMIF('14 Detailed Results'!$A$5:$A$35,$A23,'14 Detailed Results'!$L$5:$L$35)</f>
        <v>0</v>
      </c>
      <c r="M23" s="55" t="str">
        <f>IF(SUMIF('14 Detailed Results'!$A$5:$A$35,$A23,'14 Detailed Results'!$L$5:$L$35)=0,"",SUMIF('14 Detailed Results'!$A$5:$A$35,$A23,'14 Detailed Results'!$M$5:$M$35))</f>
        <v/>
      </c>
    </row>
    <row r="24" spans="1:13" ht="42" customHeight="1">
      <c r="A24" s="3" t="s">
        <v>138</v>
      </c>
      <c r="B24" s="3" t="s">
        <v>140</v>
      </c>
      <c r="C24" s="55">
        <f>SUMIF('14 Detailed Results'!$A$5:$A$35,$A24,'14 Detailed Results'!$C$5:$C$35)</f>
        <v>0</v>
      </c>
      <c r="D24" s="55">
        <f>SUMIF('14 Detailed Results'!$A$5:$A$35,$A24,'14 Detailed Results'!$D$5:$D$35)</f>
        <v>0</v>
      </c>
      <c r="E24" s="55">
        <f>SUMIF('14 Detailed Results'!$A$5:$A$35,$A24,'14 Detailed Results'!$E$5:$E$35)</f>
        <v>0</v>
      </c>
      <c r="F24" s="55">
        <f>SUMIF('14 Detailed Results'!$A$5:$A$35,$A24,'14 Detailed Results'!$F$5:$F$35)</f>
        <v>0</v>
      </c>
      <c r="G24" s="58">
        <f>SUMIF('14 Detailed Results'!$A$5:$A$35,$A24,'14 Detailed Results'!$G$5:$G$35)</f>
        <v>0</v>
      </c>
      <c r="H24" s="58">
        <f>SUMIF('14 Detailed Results'!$A$5:$A$35,$A24,'14 Detailed Results'!$H$5:$H$35)</f>
        <v>0</v>
      </c>
      <c r="I24" s="59">
        <f>SUMIF('14 Detailed Results'!$A$5:$A$35,$A24,'14 Detailed Results'!$I$5:$I$35)</f>
        <v>0</v>
      </c>
      <c r="J24" s="59">
        <f>SUMIF('14 Detailed Results'!$A$5:$A$35,$A24,'14 Detailed Results'!$J$5:$J$35)</f>
        <v>0</v>
      </c>
      <c r="K24" s="62">
        <f>SUMIF('14 Detailed Results'!$A$5:$A$35,$A24,'14 Detailed Results'!$K$5:$K$35)</f>
        <v>0</v>
      </c>
      <c r="L24" s="58">
        <f>SUMIF('14 Detailed Results'!$A$5:$A$35,$A24,'14 Detailed Results'!$L$5:$L$35)</f>
        <v>0</v>
      </c>
      <c r="M24" s="55" t="str">
        <f>IF(SUMIF('14 Detailed Results'!$A$5:$A$35,$A24,'14 Detailed Results'!$L$5:$L$35)=0,"",SUMIF('14 Detailed Results'!$A$5:$A$35,$A24,'14 Detailed Results'!$M$5:$M$35))</f>
        <v/>
      </c>
    </row>
    <row r="25" spans="1:13" ht="42" customHeight="1">
      <c r="A25" s="3" t="s">
        <v>141</v>
      </c>
      <c r="B25" s="3" t="s">
        <v>142</v>
      </c>
      <c r="C25" s="55">
        <f>SUMIF('14 Detailed Results'!$A$5:$A$35,$A25,'14 Detailed Results'!$C$5:$C$35)</f>
        <v>0</v>
      </c>
      <c r="D25" s="55">
        <f>SUMIF('14 Detailed Results'!$A$5:$A$35,$A25,'14 Detailed Results'!$D$5:$D$35)</f>
        <v>0</v>
      </c>
      <c r="E25" s="55">
        <f>SUMIF('14 Detailed Results'!$A$5:$A$35,$A25,'14 Detailed Results'!$E$5:$E$35)</f>
        <v>0</v>
      </c>
      <c r="F25" s="55">
        <f>SUMIF('14 Detailed Results'!$A$5:$A$35,$A25,'14 Detailed Results'!$F$5:$F$35)</f>
        <v>0</v>
      </c>
      <c r="G25" s="58">
        <f>SUMIF('14 Detailed Results'!$A$5:$A$35,$A25,'14 Detailed Results'!$G$5:$G$35)</f>
        <v>0</v>
      </c>
      <c r="H25" s="58">
        <f>SUMIF('14 Detailed Results'!$A$5:$A$35,$A25,'14 Detailed Results'!$H$5:$H$35)</f>
        <v>0</v>
      </c>
      <c r="I25" s="59">
        <f>SUMIF('14 Detailed Results'!$A$5:$A$35,$A25,'14 Detailed Results'!$I$5:$I$35)</f>
        <v>0</v>
      </c>
      <c r="J25" s="59">
        <f>SUMIF('14 Detailed Results'!$A$5:$A$35,$A25,'14 Detailed Results'!$J$5:$J$35)</f>
        <v>0</v>
      </c>
      <c r="K25" s="62">
        <f>SUMIF('14 Detailed Results'!$A$5:$A$35,$A25,'14 Detailed Results'!$K$5:$K$35)</f>
        <v>0</v>
      </c>
      <c r="L25" s="58">
        <f>SUMIF('14 Detailed Results'!$A$5:$A$35,$A25,'14 Detailed Results'!$L$5:$L$35)</f>
        <v>0</v>
      </c>
      <c r="M25" s="55" t="str">
        <f>IF(SUMIF('14 Detailed Results'!$A$5:$A$35,$A25,'14 Detailed Results'!$L$5:$L$35)=0,"",SUMIF('14 Detailed Results'!$A$5:$A$35,$A25,'14 Detailed Results'!$M$5:$M$35))</f>
        <v/>
      </c>
    </row>
    <row r="26" spans="1:13" ht="42" customHeight="1">
      <c r="A26" s="3" t="s">
        <v>143</v>
      </c>
      <c r="B26" s="3" t="s">
        <v>144</v>
      </c>
      <c r="C26" s="55">
        <f>SUMIF('14 Detailed Results'!$A$5:$A$35,$A26,'14 Detailed Results'!$C$5:$C$35)</f>
        <v>0</v>
      </c>
      <c r="D26" s="55">
        <f>SUMIF('14 Detailed Results'!$A$5:$A$35,$A26,'14 Detailed Results'!$D$5:$D$35)</f>
        <v>0</v>
      </c>
      <c r="E26" s="55">
        <f>SUMIF('14 Detailed Results'!$A$5:$A$35,$A26,'14 Detailed Results'!$E$5:$E$35)</f>
        <v>0</v>
      </c>
      <c r="F26" s="55">
        <f>SUMIF('14 Detailed Results'!$A$5:$A$35,$A26,'14 Detailed Results'!$F$5:$F$35)</f>
        <v>0</v>
      </c>
      <c r="G26" s="58">
        <f>SUMIF('14 Detailed Results'!$A$5:$A$35,$A26,'14 Detailed Results'!$G$5:$G$35)</f>
        <v>0</v>
      </c>
      <c r="H26" s="58">
        <f>SUMIF('14 Detailed Results'!$A$5:$A$35,$A26,'14 Detailed Results'!$H$5:$H$35)</f>
        <v>0</v>
      </c>
      <c r="I26" s="59">
        <f>SUMIF('14 Detailed Results'!$A$5:$A$35,$A26,'14 Detailed Results'!$I$5:$I$35)</f>
        <v>0</v>
      </c>
      <c r="J26" s="59">
        <f>SUMIF('14 Detailed Results'!$A$5:$A$35,$A26,'14 Detailed Results'!$J$5:$J$35)</f>
        <v>0</v>
      </c>
      <c r="K26" s="62">
        <f>SUMIF('14 Detailed Results'!$A$5:$A$35,$A26,'14 Detailed Results'!$K$5:$K$35)</f>
        <v>0</v>
      </c>
      <c r="L26" s="58">
        <f>SUMIF('14 Detailed Results'!$A$5:$A$35,$A26,'14 Detailed Results'!$L$5:$L$35)</f>
        <v>0</v>
      </c>
      <c r="M26" s="55" t="str">
        <f>IF(SUMIF('14 Detailed Results'!$A$5:$A$35,$A26,'14 Detailed Results'!$L$5:$L$35)=0,"",SUMIF('14 Detailed Results'!$A$5:$A$35,$A26,'14 Detailed Results'!$M$5:$M$35))</f>
        <v/>
      </c>
    </row>
    <row r="27" spans="1:13" ht="42" customHeight="1">
      <c r="A27" s="3" t="s">
        <v>145</v>
      </c>
      <c r="B27" s="3" t="s">
        <v>148</v>
      </c>
      <c r="C27" s="55">
        <f>SUMIF('14 Detailed Results'!$A$5:$A$35,$A27,'14 Detailed Results'!$C$5:$C$35)</f>
        <v>0</v>
      </c>
      <c r="D27" s="55">
        <f>SUMIF('14 Detailed Results'!$A$5:$A$35,$A27,'14 Detailed Results'!$D$5:$D$35)</f>
        <v>0</v>
      </c>
      <c r="E27" s="55">
        <f>SUMIF('14 Detailed Results'!$A$5:$A$35,$A27,'14 Detailed Results'!$E$5:$E$35)</f>
        <v>0</v>
      </c>
      <c r="F27" s="55">
        <f>SUMIF('14 Detailed Results'!$A$5:$A$35,$A27,'14 Detailed Results'!$F$5:$F$35)</f>
        <v>0</v>
      </c>
      <c r="G27" s="58">
        <f>SUMIF('14 Detailed Results'!$A$5:$A$35,$A27,'14 Detailed Results'!$G$5:$G$35)</f>
        <v>0</v>
      </c>
      <c r="H27" s="58">
        <f>SUMIF('14 Detailed Results'!$A$5:$A$35,$A27,'14 Detailed Results'!$H$5:$H$35)</f>
        <v>0</v>
      </c>
      <c r="I27" s="59">
        <f>SUMIF('14 Detailed Results'!$A$5:$A$35,$A27,'14 Detailed Results'!$I$5:$I$35)</f>
        <v>0</v>
      </c>
      <c r="J27" s="59">
        <f>SUMIF('14 Detailed Results'!$A$5:$A$35,$A27,'14 Detailed Results'!$J$5:$J$35)</f>
        <v>0</v>
      </c>
      <c r="K27" s="62">
        <f>SUMIF('14 Detailed Results'!$A$5:$A$35,$A27,'14 Detailed Results'!$K$5:$K$35)</f>
        <v>0</v>
      </c>
      <c r="L27" s="58">
        <f>SUMIF('14 Detailed Results'!$A$5:$A$35,$A27,'14 Detailed Results'!$L$5:$L$35)</f>
        <v>0</v>
      </c>
      <c r="M27" s="55" t="str">
        <f>IF(SUMIF('14 Detailed Results'!$A$5:$A$35,$A27,'14 Detailed Results'!$L$5:$L$35)=0,"",SUMIF('14 Detailed Results'!$A$5:$A$35,$A27,'14 Detailed Results'!$M$5:$M$35))</f>
        <v/>
      </c>
    </row>
    <row r="28" spans="1:13" ht="42" customHeight="1">
      <c r="A28" s="3" t="s">
        <v>149</v>
      </c>
      <c r="B28" s="3" t="s">
        <v>150</v>
      </c>
      <c r="C28" s="55">
        <f>SUMIF('14 Detailed Results'!$A$5:$A$35,$A28,'14 Detailed Results'!$C$5:$C$35)</f>
        <v>0</v>
      </c>
      <c r="D28" s="55">
        <f>SUMIF('14 Detailed Results'!$A$5:$A$35,$A28,'14 Detailed Results'!$D$5:$D$35)</f>
        <v>0</v>
      </c>
      <c r="E28" s="55">
        <f>SUMIF('14 Detailed Results'!$A$5:$A$35,$A28,'14 Detailed Results'!$E$5:$E$35)</f>
        <v>0</v>
      </c>
      <c r="F28" s="55">
        <f>SUMIF('14 Detailed Results'!$A$5:$A$35,$A28,'14 Detailed Results'!$F$5:$F$35)</f>
        <v>0</v>
      </c>
      <c r="G28" s="58">
        <f>SUMIF('14 Detailed Results'!$A$5:$A$35,$A28,'14 Detailed Results'!$G$5:$G$35)</f>
        <v>0</v>
      </c>
      <c r="H28" s="58">
        <f>SUMIF('14 Detailed Results'!$A$5:$A$35,$A28,'14 Detailed Results'!$H$5:$H$35)</f>
        <v>0</v>
      </c>
      <c r="I28" s="59">
        <f>SUMIF('14 Detailed Results'!$A$5:$A$35,$A28,'14 Detailed Results'!$I$5:$I$35)</f>
        <v>0</v>
      </c>
      <c r="J28" s="59">
        <f>SUMIF('14 Detailed Results'!$A$5:$A$35,$A28,'14 Detailed Results'!$J$5:$J$35)</f>
        <v>0</v>
      </c>
      <c r="K28" s="62">
        <f>SUMIF('14 Detailed Results'!$A$5:$A$35,$A28,'14 Detailed Results'!$K$5:$K$35)</f>
        <v>0</v>
      </c>
      <c r="L28" s="58">
        <f>SUMIF('14 Detailed Results'!$A$5:$A$35,$A28,'14 Detailed Results'!$L$5:$L$35)</f>
        <v>0</v>
      </c>
      <c r="M28" s="55" t="str">
        <f>IF(SUMIF('14 Detailed Results'!$A$5:$A$35,$A28,'14 Detailed Results'!$L$5:$L$35)=0,"",SUMIF('14 Detailed Results'!$A$5:$A$35,$A28,'14 Detailed Results'!$M$5:$M$35))</f>
        <v/>
      </c>
    </row>
    <row r="29" spans="1:13" ht="42" customHeight="1">
      <c r="A29" s="3" t="s">
        <v>151</v>
      </c>
      <c r="B29" s="3" t="s">
        <v>152</v>
      </c>
      <c r="C29" s="55">
        <f>SUMIF('14 Detailed Results'!$A$5:$A$35,$A29,'14 Detailed Results'!$C$5:$C$35)</f>
        <v>0</v>
      </c>
      <c r="D29" s="55">
        <f>SUMIF('14 Detailed Results'!$A$5:$A$35,$A29,'14 Detailed Results'!$D$5:$D$35)</f>
        <v>0</v>
      </c>
      <c r="E29" s="55">
        <f>SUMIF('14 Detailed Results'!$A$5:$A$35,$A29,'14 Detailed Results'!$E$5:$E$35)</f>
        <v>0</v>
      </c>
      <c r="F29" s="55">
        <f>SUMIF('14 Detailed Results'!$A$5:$A$35,$A29,'14 Detailed Results'!$F$5:$F$35)</f>
        <v>0</v>
      </c>
      <c r="G29" s="58">
        <f>SUMIF('14 Detailed Results'!$A$5:$A$35,$A29,'14 Detailed Results'!$G$5:$G$35)</f>
        <v>0</v>
      </c>
      <c r="H29" s="58">
        <f>SUMIF('14 Detailed Results'!$A$5:$A$35,$A29,'14 Detailed Results'!$H$5:$H$35)</f>
        <v>0</v>
      </c>
      <c r="I29" s="59">
        <f>SUMIF('14 Detailed Results'!$A$5:$A$35,$A29,'14 Detailed Results'!$I$5:$I$35)</f>
        <v>0</v>
      </c>
      <c r="J29" s="59">
        <f>SUMIF('14 Detailed Results'!$A$5:$A$35,$A29,'14 Detailed Results'!$J$5:$J$35)</f>
        <v>0</v>
      </c>
      <c r="K29" s="62">
        <f>SUMIF('14 Detailed Results'!$A$5:$A$35,$A29,'14 Detailed Results'!$K$5:$K$35)</f>
        <v>0</v>
      </c>
      <c r="L29" s="58">
        <f>SUMIF('14 Detailed Results'!$A$5:$A$35,$A29,'14 Detailed Results'!$L$5:$L$35)</f>
        <v>0</v>
      </c>
      <c r="M29" s="55" t="str">
        <f>IF(SUMIF('14 Detailed Results'!$A$5:$A$35,$A29,'14 Detailed Results'!$L$5:$L$35)=0,"",SUMIF('14 Detailed Results'!$A$5:$A$35,$A29,'14 Detailed Results'!$M$5:$M$35))</f>
        <v/>
      </c>
    </row>
    <row r="30" spans="1:13" ht="42" customHeight="1">
      <c r="A30" s="3" t="s">
        <v>153</v>
      </c>
      <c r="B30" s="3" t="s">
        <v>154</v>
      </c>
      <c r="C30" s="55">
        <f>SUMIF('14 Detailed Results'!$A$5:$A$35,$A30,'14 Detailed Results'!$C$5:$C$35)</f>
        <v>0</v>
      </c>
      <c r="D30" s="55">
        <f>SUMIF('14 Detailed Results'!$A$5:$A$35,$A30,'14 Detailed Results'!$D$5:$D$35)</f>
        <v>0</v>
      </c>
      <c r="E30" s="55">
        <f>SUMIF('14 Detailed Results'!$A$5:$A$35,$A30,'14 Detailed Results'!$E$5:$E$35)</f>
        <v>0</v>
      </c>
      <c r="F30" s="55">
        <f>SUMIF('14 Detailed Results'!$A$5:$A$35,$A30,'14 Detailed Results'!$F$5:$F$35)</f>
        <v>0</v>
      </c>
      <c r="G30" s="58">
        <f>SUMIF('14 Detailed Results'!$A$5:$A$35,$A30,'14 Detailed Results'!$G$5:$G$35)</f>
        <v>0</v>
      </c>
      <c r="H30" s="58">
        <f>SUMIF('14 Detailed Results'!$A$5:$A$35,$A30,'14 Detailed Results'!$H$5:$H$35)</f>
        <v>0</v>
      </c>
      <c r="I30" s="59">
        <f>SUMIF('14 Detailed Results'!$A$5:$A$35,$A30,'14 Detailed Results'!$I$5:$I$35)</f>
        <v>0</v>
      </c>
      <c r="J30" s="59">
        <f>SUMIF('14 Detailed Results'!$A$5:$A$35,$A30,'14 Detailed Results'!$J$5:$J$35)</f>
        <v>0</v>
      </c>
      <c r="K30" s="62">
        <f>SUMIF('14 Detailed Results'!$A$5:$A$35,$A30,'14 Detailed Results'!$K$5:$K$35)</f>
        <v>0</v>
      </c>
      <c r="L30" s="58">
        <f>SUMIF('14 Detailed Results'!$A$5:$A$35,$A30,'14 Detailed Results'!$L$5:$L$35)</f>
        <v>0</v>
      </c>
      <c r="M30" s="55" t="str">
        <f>IF(SUMIF('14 Detailed Results'!$A$5:$A$35,$A30,'14 Detailed Results'!$L$5:$L$35)=0,"",SUMIF('14 Detailed Results'!$A$5:$A$35,$A30,'14 Detailed Results'!$M$5:$M$35))</f>
        <v/>
      </c>
    </row>
    <row r="31" spans="1:13" ht="42" customHeight="1">
      <c r="A31" s="3" t="s">
        <v>155</v>
      </c>
      <c r="B31" s="3" t="s">
        <v>121</v>
      </c>
      <c r="C31" s="55">
        <f>SUMIF('14 Detailed Results'!$A$5:$A$35,$A31,'14 Detailed Results'!$C$5:$C$35)</f>
        <v>0</v>
      </c>
      <c r="D31" s="55">
        <f>SUMIF('14 Detailed Results'!$A$5:$A$35,$A31,'14 Detailed Results'!$D$5:$D$35)</f>
        <v>0</v>
      </c>
      <c r="E31" s="55">
        <f>SUMIF('14 Detailed Results'!$A$5:$A$35,$A31,'14 Detailed Results'!$E$5:$E$35)</f>
        <v>0</v>
      </c>
      <c r="F31" s="55">
        <f>SUMIF('14 Detailed Results'!$A$5:$A$35,$A31,'14 Detailed Results'!$F$5:$F$35)</f>
        <v>0</v>
      </c>
      <c r="G31" s="58">
        <f>SUMIF('14 Detailed Results'!$A$5:$A$35,$A31,'14 Detailed Results'!$G$5:$G$35)</f>
        <v>0</v>
      </c>
      <c r="H31" s="58">
        <f>SUMIF('14 Detailed Results'!$A$5:$A$35,$A31,'14 Detailed Results'!$H$5:$H$35)</f>
        <v>0</v>
      </c>
      <c r="I31" s="59">
        <f>SUMIF('14 Detailed Results'!$A$5:$A$35,$A31,'14 Detailed Results'!$I$5:$I$35)</f>
        <v>0</v>
      </c>
      <c r="J31" s="59">
        <f>SUMIF('14 Detailed Results'!$A$5:$A$35,$A31,'14 Detailed Results'!$J$5:$J$35)</f>
        <v>0</v>
      </c>
      <c r="K31" s="62">
        <f>SUMIF('14 Detailed Results'!$A$5:$A$35,$A31,'14 Detailed Results'!$K$5:$K$35)</f>
        <v>0</v>
      </c>
      <c r="L31" s="58">
        <f>SUMIF('14 Detailed Results'!$A$5:$A$35,$A31,'14 Detailed Results'!$L$5:$L$35)</f>
        <v>0</v>
      </c>
      <c r="M31" s="55" t="str">
        <f>IF(SUMIF('14 Detailed Results'!$A$5:$A$35,$A31,'14 Detailed Results'!$L$5:$L$35)=0,"",SUMIF('14 Detailed Results'!$A$5:$A$35,$A31,'14 Detailed Results'!$M$5:$M$35))</f>
        <v/>
      </c>
    </row>
    <row r="32" spans="1:13" ht="42" customHeight="1">
      <c r="A32" s="3" t="s">
        <v>156</v>
      </c>
      <c r="B32" s="3" t="s">
        <v>157</v>
      </c>
      <c r="C32" s="55">
        <f>SUMIF('14 Detailed Results'!$A$5:$A$35,$A32,'14 Detailed Results'!$C$5:$C$35)</f>
        <v>0</v>
      </c>
      <c r="D32" s="55">
        <f>SUMIF('14 Detailed Results'!$A$5:$A$35,$A32,'14 Detailed Results'!$D$5:$D$35)</f>
        <v>0</v>
      </c>
      <c r="E32" s="55">
        <f>SUMIF('14 Detailed Results'!$A$5:$A$35,$A32,'14 Detailed Results'!$E$5:$E$35)</f>
        <v>0</v>
      </c>
      <c r="F32" s="55">
        <f>SUMIF('14 Detailed Results'!$A$5:$A$35,$A32,'14 Detailed Results'!$F$5:$F$35)</f>
        <v>0</v>
      </c>
      <c r="G32" s="58">
        <f>SUMIF('14 Detailed Results'!$A$5:$A$35,$A32,'14 Detailed Results'!$G$5:$G$35)</f>
        <v>0</v>
      </c>
      <c r="H32" s="58">
        <f>SUMIF('14 Detailed Results'!$A$5:$A$35,$A32,'14 Detailed Results'!$H$5:$H$35)</f>
        <v>0</v>
      </c>
      <c r="I32" s="59">
        <f>SUMIF('14 Detailed Results'!$A$5:$A$35,$A32,'14 Detailed Results'!$I$5:$I$35)</f>
        <v>0</v>
      </c>
      <c r="J32" s="59">
        <f>SUMIF('14 Detailed Results'!$A$5:$A$35,$A32,'14 Detailed Results'!$J$5:$J$35)</f>
        <v>0</v>
      </c>
      <c r="K32" s="62">
        <f>SUMIF('14 Detailed Results'!$A$5:$A$35,$A32,'14 Detailed Results'!$K$5:$K$35)</f>
        <v>0</v>
      </c>
      <c r="L32" s="58">
        <f>SUMIF('14 Detailed Results'!$A$5:$A$35,$A32,'14 Detailed Results'!$L$5:$L$35)</f>
        <v>0</v>
      </c>
      <c r="M32" s="55" t="str">
        <f>IF(SUMIF('14 Detailed Results'!$A$5:$A$35,$A32,'14 Detailed Results'!$L$5:$L$35)=0,"",SUMIF('14 Detailed Results'!$A$5:$A$35,$A32,'14 Detailed Results'!$M$5:$M$35))</f>
        <v/>
      </c>
    </row>
    <row r="33" spans="1:13" ht="42" customHeight="1">
      <c r="A33" s="3" t="s">
        <v>158</v>
      </c>
      <c r="B33" s="3" t="s">
        <v>159</v>
      </c>
      <c r="C33" s="55">
        <f>SUMIF('14 Detailed Results'!$A$5:$A$35,$A33,'14 Detailed Results'!$C$5:$C$35)</f>
        <v>0</v>
      </c>
      <c r="D33" s="55">
        <f>SUMIF('14 Detailed Results'!$A$5:$A$35,$A33,'14 Detailed Results'!$D$5:$D$35)</f>
        <v>0</v>
      </c>
      <c r="E33" s="55">
        <f>SUMIF('14 Detailed Results'!$A$5:$A$35,$A33,'14 Detailed Results'!$E$5:$E$35)</f>
        <v>0</v>
      </c>
      <c r="F33" s="55">
        <f>SUMIF('14 Detailed Results'!$A$5:$A$35,$A33,'14 Detailed Results'!$F$5:$F$35)</f>
        <v>0</v>
      </c>
      <c r="G33" s="58">
        <f>SUMIF('14 Detailed Results'!$A$5:$A$35,$A33,'14 Detailed Results'!$G$5:$G$35)</f>
        <v>0</v>
      </c>
      <c r="H33" s="58">
        <f>SUMIF('14 Detailed Results'!$A$5:$A$35,$A33,'14 Detailed Results'!$H$5:$H$35)</f>
        <v>0</v>
      </c>
      <c r="I33" s="59">
        <f>SUMIF('14 Detailed Results'!$A$5:$A$35,$A33,'14 Detailed Results'!$I$5:$I$35)</f>
        <v>0</v>
      </c>
      <c r="J33" s="59">
        <f>SUMIF('14 Detailed Results'!$A$5:$A$35,$A33,'14 Detailed Results'!$J$5:$J$35)</f>
        <v>0</v>
      </c>
      <c r="K33" s="62">
        <f>SUMIF('14 Detailed Results'!$A$5:$A$35,$A33,'14 Detailed Results'!$K$5:$K$35)</f>
        <v>0</v>
      </c>
      <c r="L33" s="58">
        <f>SUMIF('14 Detailed Results'!$A$5:$A$35,$A33,'14 Detailed Results'!$L$5:$L$35)</f>
        <v>0</v>
      </c>
      <c r="M33" s="55" t="str">
        <f>IF(SUMIF('14 Detailed Results'!$A$5:$A$35,$A33,'14 Detailed Results'!$L$5:$L$35)=0,"",SUMIF('14 Detailed Results'!$A$5:$A$35,$A33,'14 Detailed Results'!$M$5:$M$35))</f>
        <v/>
      </c>
    </row>
    <row r="34" spans="1:13" ht="42" customHeight="1">
      <c r="A34" s="22" t="s">
        <v>160</v>
      </c>
      <c r="B34" s="22" t="s">
        <v>161</v>
      </c>
      <c r="C34" s="56">
        <f>SUMIF('14 Detailed Results'!$A$5:$A$35,$A34,'14 Detailed Results'!$C$5:$C$35)</f>
        <v>0</v>
      </c>
      <c r="D34" s="56">
        <f>SUMIF('14 Detailed Results'!$A$5:$A$35,$A34,'14 Detailed Results'!$D$5:$D$35)</f>
        <v>0</v>
      </c>
      <c r="E34" s="56">
        <f>SUMIF('14 Detailed Results'!$A$5:$A$35,$A34,'14 Detailed Results'!$E$5:$E$35)</f>
        <v>0</v>
      </c>
      <c r="F34" s="56">
        <f>SUMIF('14 Detailed Results'!$A$5:$A$35,$A34,'14 Detailed Results'!$F$5:$F$35)</f>
        <v>0</v>
      </c>
      <c r="G34" s="28">
        <f>SUMIF('14 Detailed Results'!$A$5:$A$35,$A34,'14 Detailed Results'!$G$5:$G$35)</f>
        <v>0</v>
      </c>
      <c r="H34" s="28">
        <f>SUMIF('14 Detailed Results'!$A$5:$A$35,$A34,'14 Detailed Results'!$H$5:$H$35)</f>
        <v>0</v>
      </c>
      <c r="I34" s="60">
        <f>SUMIF('14 Detailed Results'!$A$5:$A$35,$A34,'14 Detailed Results'!$I$5:$I$35)</f>
        <v>0</v>
      </c>
      <c r="J34" s="60">
        <f>SUMIF('14 Detailed Results'!$A$5:$A$35,$A34,'14 Detailed Results'!$J$5:$J$35)</f>
        <v>0</v>
      </c>
      <c r="K34" s="30">
        <f>SUMIF('14 Detailed Results'!$A$5:$A$35,$A34,'14 Detailed Results'!$K$5:$K$35)</f>
        <v>0</v>
      </c>
      <c r="L34" s="28">
        <f>SUMIF('14 Detailed Results'!$A$5:$A$35,$A34,'14 Detailed Results'!$L$5:$L$35)</f>
        <v>0</v>
      </c>
      <c r="M34" s="56" t="str">
        <f>IF(SUMIF('14 Detailed Results'!$A$5:$A$35,$A34,'14 Detailed Results'!$L$5:$L$35)=0,"",SUMIF('14 Detailed Results'!$A$5:$A$35,$A34,'14 Detailed Results'!$M$5:$M$35))</f>
        <v/>
      </c>
    </row>
    <row r="35" spans="1:13" ht="42" customHeight="1">
      <c r="A35" s="22" t="s">
        <v>162</v>
      </c>
      <c r="B35" s="22" t="s">
        <v>163</v>
      </c>
      <c r="C35" s="56">
        <f>SUMIF('14 Detailed Results'!$A$5:$A$35,$A35,'14 Detailed Results'!$C$5:$C$35)</f>
        <v>0</v>
      </c>
      <c r="D35" s="56">
        <f>SUMIF('14 Detailed Results'!$A$5:$A$35,$A35,'14 Detailed Results'!$D$5:$D$35)</f>
        <v>0</v>
      </c>
      <c r="E35" s="56">
        <f>SUMIF('14 Detailed Results'!$A$5:$A$35,$A35,'14 Detailed Results'!$E$5:$E$35)</f>
        <v>0</v>
      </c>
      <c r="F35" s="56">
        <f>SUMIF('14 Detailed Results'!$A$5:$A$35,$A35,'14 Detailed Results'!$F$5:$F$35)</f>
        <v>0</v>
      </c>
      <c r="G35" s="28">
        <f>SUMIF('14 Detailed Results'!$A$5:$A$35,$A35,'14 Detailed Results'!$G$5:$G$35)</f>
        <v>0</v>
      </c>
      <c r="H35" s="28">
        <f>SUMIF('14 Detailed Results'!$A$5:$A$35,$A35,'14 Detailed Results'!$H$5:$H$35)</f>
        <v>0</v>
      </c>
      <c r="I35" s="60">
        <f>SUMIF('14 Detailed Results'!$A$5:$A$35,$A35,'14 Detailed Results'!$I$5:$I$35)</f>
        <v>0</v>
      </c>
      <c r="J35" s="60">
        <f>SUMIF('14 Detailed Results'!$A$5:$A$35,$A35,'14 Detailed Results'!$J$5:$J$35)</f>
        <v>0</v>
      </c>
      <c r="K35" s="30">
        <f>SUMIF('14 Detailed Results'!$A$5:$A$35,$A35,'14 Detailed Results'!$K$5:$K$35)</f>
        <v>0</v>
      </c>
      <c r="L35" s="28">
        <f>SUMIF('14 Detailed Results'!$A$5:$A$35,$A35,'14 Detailed Results'!$L$5:$L$35)</f>
        <v>0</v>
      </c>
      <c r="M35" s="56" t="str">
        <f>IF(SUMIF('14 Detailed Results'!$A$5:$A$35,$A35,'14 Detailed Results'!$L$5:$L$35)=0,"",SUMIF('14 Detailed Results'!$A$5:$A$35,$A35,'14 Detailed Results'!$M$5:$M$35))</f>
        <v/>
      </c>
    </row>
    <row r="36" spans="1:13">
      <c r="A36" t="s">
        <v>376</v>
      </c>
      <c r="B36" t="s">
        <v>561</v>
      </c>
    </row>
    <row r="37" spans="1:13">
      <c r="A37" t="str">
        <f>B11</f>
        <v>Combined adult inpatient — all sites</v>
      </c>
      <c r="B37">
        <f>F11</f>
        <v>0</v>
      </c>
    </row>
    <row r="38" spans="1:13">
      <c r="A38" t="str">
        <f t="shared" ref="A38:A58" si="0">B15</f>
        <v>Outpatient</v>
      </c>
      <c r="B38">
        <f t="shared" ref="B38:B58" si="1">F15</f>
        <v>0</v>
      </c>
    </row>
    <row r="39" spans="1:13">
      <c r="A39" t="str">
        <f t="shared" si="0"/>
        <v>Hospital in-reach</v>
      </c>
      <c r="B39">
        <f t="shared" si="1"/>
        <v>0</v>
      </c>
    </row>
    <row r="40" spans="1:13">
      <c r="A40" t="str">
        <f t="shared" si="0"/>
        <v>Virtual Wards / Hospice at Home</v>
      </c>
      <c r="B40">
        <f t="shared" si="1"/>
        <v>0</v>
      </c>
    </row>
    <row r="41" spans="1:13">
      <c r="A41" t="str">
        <f t="shared" si="0"/>
        <v>Specialist visiting</v>
      </c>
      <c r="B41">
        <f t="shared" si="1"/>
        <v>0</v>
      </c>
    </row>
    <row r="42" spans="1:13">
      <c r="A42" t="str">
        <f t="shared" si="0"/>
        <v>Rapid response</v>
      </c>
      <c r="B42">
        <f t="shared" si="1"/>
        <v>0</v>
      </c>
    </row>
    <row r="43" spans="1:13">
      <c r="A43" t="str">
        <f t="shared" si="0"/>
        <v>Generalist community visiting (HCAs)</v>
      </c>
      <c r="B43">
        <f t="shared" si="1"/>
        <v>0</v>
      </c>
    </row>
    <row r="44" spans="1:13">
      <c r="A44" t="str">
        <f t="shared" si="0"/>
        <v>Generalist community visiting (nurses)</v>
      </c>
      <c r="B44">
        <f t="shared" si="1"/>
        <v>0</v>
      </c>
    </row>
    <row r="45" spans="1:13">
      <c r="A45" t="str">
        <f t="shared" si="0"/>
        <v>Domiciliary / home care</v>
      </c>
      <c r="B45">
        <f t="shared" si="1"/>
        <v>0</v>
      </c>
    </row>
    <row r="46" spans="1:13">
      <c r="A46" t="str">
        <f t="shared" si="0"/>
        <v>Lymphoedema</v>
      </c>
      <c r="B46">
        <f t="shared" si="1"/>
        <v>0</v>
      </c>
    </row>
    <row r="47" spans="1:13">
      <c r="A47" t="str">
        <f t="shared" si="0"/>
        <v>Bereavement</v>
      </c>
      <c r="B47">
        <f t="shared" si="1"/>
        <v>0</v>
      </c>
    </row>
    <row r="48" spans="1:13">
      <c r="A48" t="str">
        <f t="shared" si="0"/>
        <v>Family and carer support</v>
      </c>
      <c r="B48">
        <f t="shared" si="1"/>
        <v>0</v>
      </c>
    </row>
    <row r="49" spans="1:13">
      <c r="A49" t="str">
        <f t="shared" si="0"/>
        <v>Living well services</v>
      </c>
      <c r="B49">
        <f t="shared" si="1"/>
        <v>0</v>
      </c>
    </row>
    <row r="50" spans="1:13">
      <c r="A50" t="str">
        <f t="shared" si="0"/>
        <v>Respite</v>
      </c>
      <c r="B50">
        <f t="shared" si="1"/>
        <v>0</v>
      </c>
    </row>
    <row r="51" spans="1:13">
      <c r="A51" t="str">
        <f t="shared" si="0"/>
        <v>Specialist community visiting</v>
      </c>
      <c r="B51">
        <f t="shared" si="1"/>
        <v>0</v>
      </c>
    </row>
    <row r="52" spans="1:13">
      <c r="A52" t="str">
        <f t="shared" si="0"/>
        <v>Generalist community visiting</v>
      </c>
      <c r="B52">
        <f t="shared" si="1"/>
        <v>0</v>
      </c>
    </row>
    <row r="53" spans="1:13">
      <c r="A53" t="str">
        <f t="shared" si="0"/>
        <v>End-of-life care</v>
      </c>
      <c r="B53">
        <f t="shared" si="1"/>
        <v>0</v>
      </c>
    </row>
    <row r="54" spans="1:13">
      <c r="A54" t="str">
        <f t="shared" si="0"/>
        <v>Hospital in-reach</v>
      </c>
      <c r="B54">
        <f t="shared" si="1"/>
        <v>0</v>
      </c>
    </row>
    <row r="55" spans="1:13">
      <c r="A55" t="str">
        <f t="shared" si="0"/>
        <v>Therapies</v>
      </c>
      <c r="B55">
        <f t="shared" si="1"/>
        <v>0</v>
      </c>
    </row>
    <row r="56" spans="1:13">
      <c r="A56" t="str">
        <f t="shared" si="0"/>
        <v>Family support</v>
      </c>
      <c r="B56">
        <f t="shared" si="1"/>
        <v>0</v>
      </c>
    </row>
    <row r="57" spans="1:13">
      <c r="A57" t="str">
        <f t="shared" si="0"/>
        <v>Bereavement services</v>
      </c>
      <c r="B57">
        <f t="shared" si="1"/>
        <v>0</v>
      </c>
    </row>
    <row r="58" spans="1:13">
      <c r="A58" t="str">
        <f t="shared" si="0"/>
        <v>Day services</v>
      </c>
      <c r="B58">
        <f t="shared" si="1"/>
        <v>0</v>
      </c>
    </row>
    <row r="61" spans="1:13" ht="42" customHeight="1">
      <c r="A61" s="113" t="s">
        <v>568</v>
      </c>
      <c r="B61" s="113"/>
      <c r="C61" s="113"/>
      <c r="D61" s="113"/>
      <c r="E61" s="113"/>
      <c r="F61" s="113"/>
      <c r="G61" s="113"/>
      <c r="H61" s="113"/>
      <c r="I61" s="113"/>
      <c r="J61" s="113"/>
      <c r="K61" s="113"/>
      <c r="L61" s="113"/>
      <c r="M61" s="113"/>
    </row>
  </sheetData>
  <sheetProtection sheet="1" objects="1" scenarios="1" formatColumns="0" formatRows="0"/>
  <mergeCells count="4">
    <mergeCell ref="A1:M1"/>
    <mergeCell ref="A2:M2"/>
    <mergeCell ref="A4:M4"/>
    <mergeCell ref="A61:M6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37"/>
  <sheetViews>
    <sheetView showGridLines="0" workbookViewId="0"/>
  </sheetViews>
  <sheetFormatPr baseColWidth="10" defaultColWidth="8.83203125" defaultRowHeight="14"/>
  <cols>
    <col min="1" max="1" width="17" customWidth="1"/>
    <col min="2" max="2" width="40" customWidth="1"/>
    <col min="3" max="3" width="17" customWidth="1"/>
    <col min="4" max="4" width="16" customWidth="1"/>
    <col min="5" max="5" width="18" customWidth="1"/>
    <col min="6" max="6" width="21" customWidth="1"/>
    <col min="7" max="8" width="14" customWidth="1"/>
    <col min="9" max="10" width="17" customWidth="1"/>
    <col min="11" max="11" width="14" customWidth="1"/>
    <col min="12" max="12" width="21" customWidth="1"/>
    <col min="13" max="13" width="24" customWidth="1"/>
    <col min="14" max="14" width="20" customWidth="1"/>
    <col min="15" max="19" width="25" customWidth="1"/>
  </cols>
  <sheetData>
    <row r="1" spans="1:19" ht="34" customHeight="1">
      <c r="A1" s="111" t="s">
        <v>43</v>
      </c>
      <c r="B1" s="111"/>
      <c r="C1" s="111"/>
      <c r="D1" s="111"/>
      <c r="E1" s="111"/>
      <c r="F1" s="111"/>
      <c r="G1" s="111"/>
      <c r="H1" s="111"/>
      <c r="I1" s="111"/>
      <c r="J1" s="111"/>
      <c r="K1" s="111"/>
      <c r="L1" s="111"/>
      <c r="M1" s="111"/>
      <c r="N1" s="111"/>
    </row>
    <row r="2" spans="1:19" ht="28" customHeight="1">
      <c r="A2" s="112" t="s">
        <v>569</v>
      </c>
      <c r="B2" s="112"/>
      <c r="C2" s="112"/>
      <c r="D2" s="112"/>
      <c r="E2" s="112"/>
      <c r="F2" s="112"/>
      <c r="G2" s="112"/>
      <c r="H2" s="112"/>
      <c r="I2" s="112"/>
      <c r="J2" s="112"/>
      <c r="K2" s="112"/>
      <c r="L2" s="112"/>
      <c r="M2" s="112"/>
      <c r="N2" s="112"/>
    </row>
    <row r="4" spans="1:19" ht="46" customHeight="1">
      <c r="A4" s="2" t="s">
        <v>108</v>
      </c>
      <c r="B4" s="2" t="s">
        <v>376</v>
      </c>
      <c r="C4" s="2" t="s">
        <v>559</v>
      </c>
      <c r="D4" s="2" t="s">
        <v>560</v>
      </c>
      <c r="E4" s="2" t="s">
        <v>570</v>
      </c>
      <c r="F4" s="2" t="s">
        <v>571</v>
      </c>
      <c r="G4" s="2" t="s">
        <v>382</v>
      </c>
      <c r="H4" s="2" t="s">
        <v>386</v>
      </c>
      <c r="I4" s="2" t="s">
        <v>562</v>
      </c>
      <c r="J4" s="2" t="s">
        <v>563</v>
      </c>
      <c r="K4" s="2" t="s">
        <v>564</v>
      </c>
      <c r="L4" s="2" t="s">
        <v>565</v>
      </c>
      <c r="M4" s="2" t="s">
        <v>566</v>
      </c>
      <c r="N4" s="2" t="s">
        <v>572</v>
      </c>
      <c r="O4" s="36" t="s">
        <v>573</v>
      </c>
      <c r="P4" s="36" t="s">
        <v>574</v>
      </c>
      <c r="Q4" s="36" t="s">
        <v>575</v>
      </c>
      <c r="R4" s="36" t="s">
        <v>576</v>
      </c>
      <c r="S4" s="36" t="s">
        <v>577</v>
      </c>
    </row>
    <row r="5" spans="1:19" ht="15">
      <c r="A5" s="15" t="s">
        <v>113</v>
      </c>
      <c r="B5" s="15" t="s">
        <v>567</v>
      </c>
      <c r="C5" s="54">
        <f t="shared" ref="C5:H5" si="0">SUM(C6:C8)</f>
        <v>0</v>
      </c>
      <c r="D5" s="54">
        <f t="shared" si="0"/>
        <v>0</v>
      </c>
      <c r="E5" s="54">
        <f t="shared" si="0"/>
        <v>0</v>
      </c>
      <c r="F5" s="54">
        <f t="shared" si="0"/>
        <v>0</v>
      </c>
      <c r="G5" s="57">
        <f t="shared" si="0"/>
        <v>0</v>
      </c>
      <c r="H5" s="57">
        <f t="shared" si="0"/>
        <v>0</v>
      </c>
      <c r="I5" s="54" t="str">
        <f>IFERROR(ROUND(F5/G5,2),"")</f>
        <v/>
      </c>
      <c r="J5" s="54" t="str">
        <f t="shared" ref="J5:J35" si="1">IFERROR(ROUND(F5/H5,2),"")</f>
        <v/>
      </c>
      <c r="K5" s="61" t="str">
        <f>IFERROR(ROUND(H5/G5,4),"")</f>
        <v/>
      </c>
      <c r="L5" s="57">
        <f>SUM(L6:L8)</f>
        <v>0</v>
      </c>
      <c r="M5" s="54" t="str">
        <f t="shared" ref="M5:M35" si="2">IFERROR(ROUND(F5/L5,2),"")</f>
        <v/>
      </c>
      <c r="N5" s="15" t="str">
        <f t="shared" ref="N5:N35" si="3">IF(F5=0,"Not provided",IF(OR(LEFT(A5,4)="OTH_",LEFT(A5,3)="IG_"),"Complete — no activity measure required",IF(AND(H5=0,G5=0),"Review activity","Complete")))</f>
        <v>Not provided</v>
      </c>
      <c r="O5" s="49">
        <f>SUM(O6:O8)</f>
        <v>0</v>
      </c>
      <c r="P5" s="49">
        <f>SUM(P6:P8)</f>
        <v>0</v>
      </c>
      <c r="Q5" s="49">
        <f>SUM(Q6:Q8)</f>
        <v>0</v>
      </c>
      <c r="R5" s="21" t="s">
        <v>389</v>
      </c>
      <c r="S5" s="21" t="s">
        <v>578</v>
      </c>
    </row>
    <row r="6" spans="1:19" ht="15">
      <c r="A6" s="3" t="s">
        <v>213</v>
      </c>
      <c r="B6" s="3" t="str">
        <f>"Adult inpatient — "&amp;'02 Hospice Setup'!$B$20</f>
        <v xml:space="preserve">Adult inpatient — </v>
      </c>
      <c r="C6" s="55">
        <f>ROUND(SUMIF('16 Calculations'!$A$5:$A$34,A6,'16 Calculations'!$C$5:$C$34),0)</f>
        <v>0</v>
      </c>
      <c r="D6" s="55">
        <f>ROUND(SUMIF('16 Calculations'!$A$5:$A$34,A6,'16 Calculations'!$D$5:$D$34),0)</f>
        <v>0</v>
      </c>
      <c r="E6" s="55">
        <f>ROUND(SUMIF('16 Calculations'!$A$5:$A$34,A6,'16 Calculations'!$R$5:$R$34)-C6-D6,0)</f>
        <v>0</v>
      </c>
      <c r="F6" s="55">
        <f t="shared" ref="F6:F35" si="4">SUM(C6:E6)</f>
        <v>0</v>
      </c>
      <c r="G6" s="58">
        <f>SUMIFS('09 Core Activity &amp; Capacity'!$F$5:$F$74,'09 Core Activity &amp; Capacity'!$A$5:$A$74,A6,'09 Core Activity &amp; Capacity'!$D$5:$D$74,"Capacity")</f>
        <v>0</v>
      </c>
      <c r="H6" s="58">
        <f>SUMIFS('09 Core Activity &amp; Capacity'!$F$5:$F$74,'09 Core Activity &amp; Capacity'!$A$5:$A$74,A6,'09 Core Activity &amp; Capacity'!$D$5:$D$74,"Activity")</f>
        <v>0</v>
      </c>
      <c r="I6" s="55" t="str">
        <f>IFERROR(ROUND(F6/G6,2),"")</f>
        <v/>
      </c>
      <c r="J6" s="55" t="str">
        <f t="shared" si="1"/>
        <v/>
      </c>
      <c r="K6" s="62" t="str">
        <f>IFERROR(ROUND(H6/G6,4),"")</f>
        <v/>
      </c>
      <c r="L6" s="58">
        <f>SUMIFS('09 Core Activity &amp; Capacity'!$F$5:$F$74,'09 Core Activity &amp; Capacity'!$A$5:$A$74,A6,'09 Core Activity &amp; Capacity'!$C$5:$C$74,"Admissions")</f>
        <v>0</v>
      </c>
      <c r="M6" s="55" t="str">
        <f t="shared" si="2"/>
        <v/>
      </c>
      <c r="N6" s="3" t="str">
        <f t="shared" si="3"/>
        <v>Not provided</v>
      </c>
      <c r="O6" s="49">
        <f>SUMIF('16 Calculations'!$A$5:$A$34,A6,'16 Calculations'!$S$5:$S$34)</f>
        <v>0</v>
      </c>
      <c r="P6" s="49">
        <f>SUMIF('16 Calculations'!$A$5:$A$34,A6,'16 Calculations'!$T$5:$T$34)</f>
        <v>0</v>
      </c>
      <c r="Q6" s="49">
        <f>SUMIF('16 Calculations'!$A$5:$A$34,A6,'16 Calculations'!$U$5:$U$34)</f>
        <v>0</v>
      </c>
      <c r="R6" s="21" t="s">
        <v>389</v>
      </c>
      <c r="S6" s="21" t="str">
        <f>IFERROR(IF(INDEX('04 Service Costs'!$I$5:$I$31,MATCH(A6,'04 Service Costs'!$A$5:$A$31,0))="","",INDEX('04 Service Costs'!$I$5:$I$31,MATCH(A6,'04 Service Costs'!$A$5:$A$31,0))),"")</f>
        <v/>
      </c>
    </row>
    <row r="7" spans="1:19" ht="15">
      <c r="A7" s="3" t="s">
        <v>214</v>
      </c>
      <c r="B7" s="3" t="str">
        <f>"Adult inpatient — "&amp;'02 Hospice Setup'!$B$21</f>
        <v xml:space="preserve">Adult inpatient — </v>
      </c>
      <c r="C7" s="55">
        <f>ROUND(SUMIF('16 Calculations'!$A$5:$A$34,A7,'16 Calculations'!$C$5:$C$34),0)</f>
        <v>0</v>
      </c>
      <c r="D7" s="55">
        <f>ROUND(SUMIF('16 Calculations'!$A$5:$A$34,A7,'16 Calculations'!$D$5:$D$34),0)</f>
        <v>0</v>
      </c>
      <c r="E7" s="55">
        <f>ROUND(SUMIF('16 Calculations'!$A$5:$A$34,A7,'16 Calculations'!$R$5:$R$34)-C7-D7,0)</f>
        <v>0</v>
      </c>
      <c r="F7" s="55">
        <f t="shared" si="4"/>
        <v>0</v>
      </c>
      <c r="G7" s="58">
        <f>SUMIFS('09 Core Activity &amp; Capacity'!$F$5:$F$74,'09 Core Activity &amp; Capacity'!$A$5:$A$74,A7,'09 Core Activity &amp; Capacity'!$D$5:$D$74,"Capacity")</f>
        <v>0</v>
      </c>
      <c r="H7" s="58">
        <f>SUMIFS('09 Core Activity &amp; Capacity'!$F$5:$F$74,'09 Core Activity &amp; Capacity'!$A$5:$A$74,A7,'09 Core Activity &amp; Capacity'!$D$5:$D$74,"Activity")</f>
        <v>0</v>
      </c>
      <c r="I7" s="55" t="str">
        <f>IFERROR(ROUND(F7/G7,2),"")</f>
        <v/>
      </c>
      <c r="J7" s="55" t="str">
        <f t="shared" si="1"/>
        <v/>
      </c>
      <c r="K7" s="62" t="str">
        <f>IFERROR(ROUND(H7/G7,4),"")</f>
        <v/>
      </c>
      <c r="L7" s="58">
        <f>SUMIFS('09 Core Activity &amp; Capacity'!$F$5:$F$74,'09 Core Activity &amp; Capacity'!$A$5:$A$74,A7,'09 Core Activity &amp; Capacity'!$C$5:$C$74,"Admissions")</f>
        <v>0</v>
      </c>
      <c r="M7" s="55" t="str">
        <f t="shared" si="2"/>
        <v/>
      </c>
      <c r="N7" s="3" t="str">
        <f t="shared" si="3"/>
        <v>Not provided</v>
      </c>
      <c r="O7" s="49">
        <f>SUMIF('16 Calculations'!$A$5:$A$34,A7,'16 Calculations'!$S$5:$S$34)</f>
        <v>0</v>
      </c>
      <c r="P7" s="49">
        <f>SUMIF('16 Calculations'!$A$5:$A$34,A7,'16 Calculations'!$T$5:$T$34)</f>
        <v>0</v>
      </c>
      <c r="Q7" s="49">
        <f>SUMIF('16 Calculations'!$A$5:$A$34,A7,'16 Calculations'!$U$5:$U$34)</f>
        <v>0</v>
      </c>
      <c r="R7" s="21" t="s">
        <v>389</v>
      </c>
      <c r="S7" s="21" t="str">
        <f>IFERROR(IF(INDEX('04 Service Costs'!$I$5:$I$31,MATCH(A7,'04 Service Costs'!$A$5:$A$31,0))="","",INDEX('04 Service Costs'!$I$5:$I$31,MATCH(A7,'04 Service Costs'!$A$5:$A$31,0))),"")</f>
        <v/>
      </c>
    </row>
    <row r="8" spans="1:19" ht="15">
      <c r="A8" s="3" t="s">
        <v>215</v>
      </c>
      <c r="B8" s="3" t="str">
        <f>"Adult inpatient — "&amp;'02 Hospice Setup'!$B$22</f>
        <v xml:space="preserve">Adult inpatient — </v>
      </c>
      <c r="C8" s="55">
        <f>ROUND(SUMIF('16 Calculations'!$A$5:$A$34,A8,'16 Calculations'!$C$5:$C$34),0)</f>
        <v>0</v>
      </c>
      <c r="D8" s="55">
        <f>ROUND(SUMIF('16 Calculations'!$A$5:$A$34,A8,'16 Calculations'!$D$5:$D$34),0)</f>
        <v>0</v>
      </c>
      <c r="E8" s="55">
        <f>ROUND(SUMIF('16 Calculations'!$A$5:$A$34,A8,'16 Calculations'!$R$5:$R$34)-C8-D8,0)</f>
        <v>0</v>
      </c>
      <c r="F8" s="55">
        <f t="shared" si="4"/>
        <v>0</v>
      </c>
      <c r="G8" s="58">
        <f>SUMIFS('09 Core Activity &amp; Capacity'!$F$5:$F$74,'09 Core Activity &amp; Capacity'!$A$5:$A$74,A8,'09 Core Activity &amp; Capacity'!$D$5:$D$74,"Capacity")</f>
        <v>0</v>
      </c>
      <c r="H8" s="58">
        <f>SUMIFS('09 Core Activity &amp; Capacity'!$F$5:$F$74,'09 Core Activity &amp; Capacity'!$A$5:$A$74,A8,'09 Core Activity &amp; Capacity'!$D$5:$D$74,"Activity")</f>
        <v>0</v>
      </c>
      <c r="I8" s="55" t="str">
        <f>IFERROR(ROUND(F8/G8,2),"")</f>
        <v/>
      </c>
      <c r="J8" s="55" t="str">
        <f t="shared" si="1"/>
        <v/>
      </c>
      <c r="K8" s="62" t="str">
        <f>IFERROR(ROUND(H8/G8,4),"")</f>
        <v/>
      </c>
      <c r="L8" s="58">
        <f>SUMIFS('09 Core Activity &amp; Capacity'!$F$5:$F$74,'09 Core Activity &amp; Capacity'!$A$5:$A$74,A8,'09 Core Activity &amp; Capacity'!$C$5:$C$74,"Admissions")</f>
        <v>0</v>
      </c>
      <c r="M8" s="55" t="str">
        <f t="shared" si="2"/>
        <v/>
      </c>
      <c r="N8" s="3" t="str">
        <f t="shared" si="3"/>
        <v>Not provided</v>
      </c>
      <c r="O8" s="49">
        <f>SUMIF('16 Calculations'!$A$5:$A$34,A8,'16 Calculations'!$S$5:$S$34)</f>
        <v>0</v>
      </c>
      <c r="P8" s="49">
        <f>SUMIF('16 Calculations'!$A$5:$A$34,A8,'16 Calculations'!$T$5:$T$34)</f>
        <v>0</v>
      </c>
      <c r="Q8" s="49">
        <f>SUMIF('16 Calculations'!$A$5:$A$34,A8,'16 Calculations'!$U$5:$U$34)</f>
        <v>0</v>
      </c>
      <c r="R8" s="21" t="s">
        <v>389</v>
      </c>
      <c r="S8" s="21" t="str">
        <f>IFERROR(IF(INDEX('04 Service Costs'!$I$5:$I$31,MATCH(A8,'04 Service Costs'!$A$5:$A$31,0))="","",INDEX('04 Service Costs'!$I$5:$I$31,MATCH(A8,'04 Service Costs'!$A$5:$A$31,0))),"")</f>
        <v/>
      </c>
    </row>
    <row r="9" spans="1:19" ht="15">
      <c r="A9" s="3" t="s">
        <v>117</v>
      </c>
      <c r="B9" s="3" t="s">
        <v>119</v>
      </c>
      <c r="C9" s="55">
        <f>ROUND(SUMIF('16 Calculations'!$A$5:$A$34,A9,'16 Calculations'!$C$5:$C$34),0)</f>
        <v>0</v>
      </c>
      <c r="D9" s="55">
        <f>ROUND(SUMIF('16 Calculations'!$A$5:$A$34,A9,'16 Calculations'!$D$5:$D$34),0)</f>
        <v>0</v>
      </c>
      <c r="E9" s="55">
        <f>ROUND(SUMIF('16 Calculations'!$A$5:$A$34,A9,'16 Calculations'!$R$5:$R$34)-C9-D9,0)</f>
        <v>0</v>
      </c>
      <c r="F9" s="55">
        <f t="shared" si="4"/>
        <v>0</v>
      </c>
      <c r="G9" s="58" t="str">
        <f>IF('09 Core Activity &amp; Capacity'!F15="","",'09 Core Activity &amp; Capacity'!F15)</f>
        <v/>
      </c>
      <c r="H9" s="58">
        <f>SUMIFS('09 Core Activity &amp; Capacity'!$F$5:$F$74,'09 Core Activity &amp; Capacity'!$A$5:$A$74,A9,'09 Core Activity &amp; Capacity'!$D$5:$D$74,"Activity")</f>
        <v>0</v>
      </c>
      <c r="I9" s="59" t="str">
        <f>IF(OR(G9="",G9=0),"",F9/G9)</f>
        <v/>
      </c>
      <c r="J9" s="59" t="str">
        <f t="shared" si="1"/>
        <v/>
      </c>
      <c r="K9" s="62" t="str">
        <f>IF(OR(G9="",G9=0),"",H9/G9)</f>
        <v/>
      </c>
      <c r="L9" s="58">
        <f>SUMIFS('09 Core Activity &amp; Capacity'!$F$5:$F$74,'09 Core Activity &amp; Capacity'!$A$5:$A$74,A9,'09 Core Activity &amp; Capacity'!$C$5:$C$74,"Individual patients / service users")</f>
        <v>0</v>
      </c>
      <c r="M9" s="55" t="str">
        <f t="shared" si="2"/>
        <v/>
      </c>
      <c r="N9" s="3" t="str">
        <f t="shared" si="3"/>
        <v>Not provided</v>
      </c>
      <c r="O9" s="49">
        <f>SUMIF('16 Calculations'!$A$5:$A$34,A9,'16 Calculations'!$S$5:$S$34)</f>
        <v>0</v>
      </c>
      <c r="P9" s="49">
        <f>SUMIF('16 Calculations'!$A$5:$A$34,A9,'16 Calculations'!$T$5:$T$34)</f>
        <v>0</v>
      </c>
      <c r="Q9" s="49">
        <f>SUMIF('16 Calculations'!$A$5:$A$34,A9,'16 Calculations'!$U$5:$U$34)</f>
        <v>0</v>
      </c>
      <c r="R9" s="21" t="s">
        <v>579</v>
      </c>
      <c r="S9" s="21" t="str">
        <f>IFERROR(IF(INDEX('04 Service Costs'!$I$5:$I$31,MATCH(A9,'04 Service Costs'!$A$5:$A$31,0))="","",INDEX('04 Service Costs'!$I$5:$I$31,MATCH(A9,'04 Service Costs'!$A$5:$A$31,0))),"")</f>
        <v/>
      </c>
    </row>
    <row r="10" spans="1:19" ht="15">
      <c r="A10" s="3" t="s">
        <v>120</v>
      </c>
      <c r="B10" s="3" t="s">
        <v>121</v>
      </c>
      <c r="C10" s="55">
        <f>ROUND(SUMIF('16 Calculations'!$A$5:$A$34,A10,'16 Calculations'!$C$5:$C$34),0)</f>
        <v>0</v>
      </c>
      <c r="D10" s="55">
        <f>ROUND(SUMIF('16 Calculations'!$A$5:$A$34,A10,'16 Calculations'!$D$5:$D$34),0)</f>
        <v>0</v>
      </c>
      <c r="E10" s="55">
        <f>ROUND(SUMIF('16 Calculations'!$A$5:$A$34,A10,'16 Calculations'!$R$5:$R$34)-C10-D10,0)</f>
        <v>0</v>
      </c>
      <c r="F10" s="55">
        <f t="shared" si="4"/>
        <v>0</v>
      </c>
      <c r="G10" s="58">
        <f>SUMIFS('09 Core Activity &amp; Capacity'!$F$5:$F$74,'09 Core Activity &amp; Capacity'!$A$5:$A$74,A10,'09 Core Activity &amp; Capacity'!$D$5:$D$74,"Capacity")</f>
        <v>0</v>
      </c>
      <c r="H10" s="58">
        <f>SUMIFS('09 Core Activity &amp; Capacity'!$F$5:$F$74,'09 Core Activity &amp; Capacity'!$A$5:$A$74,A10,'09 Core Activity &amp; Capacity'!$D$5:$D$74,"Activity")</f>
        <v>0</v>
      </c>
      <c r="I10" s="59" t="str">
        <f t="shared" ref="I10:I35" si="5">IFERROR(ROUND(F10/G10,2),"")</f>
        <v/>
      </c>
      <c r="J10" s="59" t="str">
        <f t="shared" si="1"/>
        <v/>
      </c>
      <c r="K10" s="62" t="str">
        <f t="shared" ref="K10:K35" si="6">IFERROR(ROUND(H10/G10,4),"")</f>
        <v/>
      </c>
      <c r="L10" s="58">
        <f>SUMIFS('09 Core Activity &amp; Capacity'!$F$5:$F$74,'09 Core Activity &amp; Capacity'!$A$5:$A$74,A10,'09 Core Activity &amp; Capacity'!$C$5:$C$74,"Individual patients / service users")</f>
        <v>0</v>
      </c>
      <c r="M10" s="55" t="str">
        <f t="shared" si="2"/>
        <v/>
      </c>
      <c r="N10" s="3" t="str">
        <f t="shared" si="3"/>
        <v>Not provided</v>
      </c>
      <c r="O10" s="49">
        <f>SUMIF('16 Calculations'!$A$5:$A$34,A10,'16 Calculations'!$S$5:$S$34)</f>
        <v>0</v>
      </c>
      <c r="P10" s="49">
        <f>SUMIF('16 Calculations'!$A$5:$A$34,A10,'16 Calculations'!$T$5:$T$34)</f>
        <v>0</v>
      </c>
      <c r="Q10" s="49">
        <f>SUMIF('16 Calculations'!$A$5:$A$34,A10,'16 Calculations'!$U$5:$U$34)</f>
        <v>0</v>
      </c>
      <c r="R10" s="21" t="s">
        <v>579</v>
      </c>
      <c r="S10" s="21" t="str">
        <f>IFERROR(IF(INDEX('04 Service Costs'!$I$5:$I$31,MATCH(A10,'04 Service Costs'!$A$5:$A$31,0))="","",INDEX('04 Service Costs'!$I$5:$I$31,MATCH(A10,'04 Service Costs'!$A$5:$A$31,0))),"")</f>
        <v/>
      </c>
    </row>
    <row r="11" spans="1:19" ht="15">
      <c r="A11" s="3" t="s">
        <v>125</v>
      </c>
      <c r="B11" s="3" t="s">
        <v>126</v>
      </c>
      <c r="C11" s="55">
        <f>ROUND(SUMIF('16 Calculations'!$A$5:$A$34,A11,'16 Calculations'!$C$5:$C$34),0)</f>
        <v>0</v>
      </c>
      <c r="D11" s="55">
        <f>ROUND(SUMIF('16 Calculations'!$A$5:$A$34,A11,'16 Calculations'!$D$5:$D$34),0)</f>
        <v>0</v>
      </c>
      <c r="E11" s="55">
        <f>ROUND(SUMIF('16 Calculations'!$A$5:$A$34,A11,'16 Calculations'!$R$5:$R$34)-C11-D11,0)</f>
        <v>0</v>
      </c>
      <c r="F11" s="55">
        <f t="shared" si="4"/>
        <v>0</v>
      </c>
      <c r="G11" s="58">
        <f>SUMIFS('09 Core Activity &amp; Capacity'!$F$5:$F$74,'09 Core Activity &amp; Capacity'!$A$5:$A$74,A11,'09 Core Activity &amp; Capacity'!$D$5:$D$74,"Capacity")</f>
        <v>0</v>
      </c>
      <c r="H11" s="58">
        <f>SUMIFS('09 Core Activity &amp; Capacity'!$F$5:$F$74,'09 Core Activity &amp; Capacity'!$A$5:$A$74,A11,'09 Core Activity &amp; Capacity'!$D$5:$D$74,"Activity")</f>
        <v>0</v>
      </c>
      <c r="I11" s="59" t="str">
        <f t="shared" si="5"/>
        <v/>
      </c>
      <c r="J11" s="59" t="str">
        <f t="shared" si="1"/>
        <v/>
      </c>
      <c r="K11" s="62" t="str">
        <f t="shared" si="6"/>
        <v/>
      </c>
      <c r="L11" s="58">
        <f>SUMIFS('09 Core Activity &amp; Capacity'!$F$5:$F$74,'09 Core Activity &amp; Capacity'!$A$5:$A$74,A11,'09 Core Activity &amp; Capacity'!$C$5:$C$74,"Individual patients / service users")</f>
        <v>0</v>
      </c>
      <c r="M11" s="55" t="str">
        <f t="shared" si="2"/>
        <v/>
      </c>
      <c r="N11" s="3" t="str">
        <f t="shared" si="3"/>
        <v>Not provided</v>
      </c>
      <c r="O11" s="49">
        <f>SUMIF('16 Calculations'!$A$5:$A$34,A11,'16 Calculations'!$S$5:$S$34)</f>
        <v>0</v>
      </c>
      <c r="P11" s="49">
        <f>SUMIF('16 Calculations'!$A$5:$A$34,A11,'16 Calculations'!$T$5:$T$34)</f>
        <v>0</v>
      </c>
      <c r="Q11" s="49">
        <f>SUMIF('16 Calculations'!$A$5:$A$34,A11,'16 Calculations'!$U$5:$U$34)</f>
        <v>0</v>
      </c>
      <c r="R11" s="21" t="s">
        <v>579</v>
      </c>
      <c r="S11" s="21" t="str">
        <f>IFERROR(IF(INDEX('04 Service Costs'!$I$5:$I$31,MATCH(A11,'04 Service Costs'!$A$5:$A$31,0))="","",INDEX('04 Service Costs'!$I$5:$I$31,MATCH(A11,'04 Service Costs'!$A$5:$A$31,0))),"")</f>
        <v/>
      </c>
    </row>
    <row r="12" spans="1:19" ht="15">
      <c r="A12" s="3" t="s">
        <v>127</v>
      </c>
      <c r="B12" s="3" t="s">
        <v>128</v>
      </c>
      <c r="C12" s="55">
        <f>ROUND(SUMIF('16 Calculations'!$A$5:$A$34,A12,'16 Calculations'!$C$5:$C$34),0)</f>
        <v>0</v>
      </c>
      <c r="D12" s="55">
        <f>ROUND(SUMIF('16 Calculations'!$A$5:$A$34,A12,'16 Calculations'!$D$5:$D$34),0)</f>
        <v>0</v>
      </c>
      <c r="E12" s="55">
        <f>ROUND(SUMIF('16 Calculations'!$A$5:$A$34,A12,'16 Calculations'!$R$5:$R$34)-C12-D12,0)</f>
        <v>0</v>
      </c>
      <c r="F12" s="55">
        <f t="shared" si="4"/>
        <v>0</v>
      </c>
      <c r="G12" s="58">
        <f>SUMIFS('09 Core Activity &amp; Capacity'!$F$5:$F$74,'09 Core Activity &amp; Capacity'!$A$5:$A$74,A12,'09 Core Activity &amp; Capacity'!$D$5:$D$74,"Capacity")</f>
        <v>0</v>
      </c>
      <c r="H12" s="58">
        <f>SUMIFS('09 Core Activity &amp; Capacity'!$F$5:$F$74,'09 Core Activity &amp; Capacity'!$A$5:$A$74,A12,'09 Core Activity &amp; Capacity'!$D$5:$D$74,"Activity")</f>
        <v>0</v>
      </c>
      <c r="I12" s="59" t="str">
        <f t="shared" si="5"/>
        <v/>
      </c>
      <c r="J12" s="59" t="str">
        <f t="shared" si="1"/>
        <v/>
      </c>
      <c r="K12" s="62" t="str">
        <f t="shared" si="6"/>
        <v/>
      </c>
      <c r="L12" s="58">
        <f>SUMIFS('09 Core Activity &amp; Capacity'!$F$5:$F$74,'09 Core Activity &amp; Capacity'!$A$5:$A$74,A12,'09 Core Activity &amp; Capacity'!$C$5:$C$74,"Individual patients / service users")</f>
        <v>0</v>
      </c>
      <c r="M12" s="55" t="str">
        <f t="shared" si="2"/>
        <v/>
      </c>
      <c r="N12" s="3" t="str">
        <f t="shared" si="3"/>
        <v>Not provided</v>
      </c>
      <c r="O12" s="49">
        <f>SUMIF('16 Calculations'!$A$5:$A$34,A12,'16 Calculations'!$S$5:$S$34)</f>
        <v>0</v>
      </c>
      <c r="P12" s="49">
        <f>SUMIF('16 Calculations'!$A$5:$A$34,A12,'16 Calculations'!$T$5:$T$34)</f>
        <v>0</v>
      </c>
      <c r="Q12" s="49">
        <f>SUMIF('16 Calculations'!$A$5:$A$34,A12,'16 Calculations'!$U$5:$U$34)</f>
        <v>0</v>
      </c>
      <c r="R12" s="21" t="s">
        <v>579</v>
      </c>
      <c r="S12" s="21" t="str">
        <f>IFERROR(IF(INDEX('04 Service Costs'!$I$5:$I$31,MATCH(A12,'04 Service Costs'!$A$5:$A$31,0))="","",INDEX('04 Service Costs'!$I$5:$I$31,MATCH(A12,'04 Service Costs'!$A$5:$A$31,0))),"")</f>
        <v/>
      </c>
    </row>
    <row r="13" spans="1:19" ht="15">
      <c r="A13" s="3" t="s">
        <v>129</v>
      </c>
      <c r="B13" s="3" t="s">
        <v>131</v>
      </c>
      <c r="C13" s="55">
        <f>ROUND(SUMIF('16 Calculations'!$A$5:$A$34,A13,'16 Calculations'!$C$5:$C$34),0)</f>
        <v>0</v>
      </c>
      <c r="D13" s="55">
        <f>ROUND(SUMIF('16 Calculations'!$A$5:$A$34,A13,'16 Calculations'!$D$5:$D$34),0)</f>
        <v>0</v>
      </c>
      <c r="E13" s="55">
        <f>ROUND(SUMIF('16 Calculations'!$A$5:$A$34,A13,'16 Calculations'!$R$5:$R$34)-C13-D13,0)</f>
        <v>0</v>
      </c>
      <c r="F13" s="55">
        <f t="shared" si="4"/>
        <v>0</v>
      </c>
      <c r="G13" s="58">
        <f>SUMIFS('09 Core Activity &amp; Capacity'!$F$5:$F$74,'09 Core Activity &amp; Capacity'!$A$5:$A$74,A13,'09 Core Activity &amp; Capacity'!$D$5:$D$74,"Capacity")</f>
        <v>0</v>
      </c>
      <c r="H13" s="58">
        <f>SUMIFS('09 Core Activity &amp; Capacity'!$F$5:$F$74,'09 Core Activity &amp; Capacity'!$A$5:$A$74,A13,'09 Core Activity &amp; Capacity'!$D$5:$D$74,"Activity")</f>
        <v>0</v>
      </c>
      <c r="I13" s="59" t="str">
        <f t="shared" si="5"/>
        <v/>
      </c>
      <c r="J13" s="59" t="str">
        <f t="shared" si="1"/>
        <v/>
      </c>
      <c r="K13" s="62" t="str">
        <f t="shared" si="6"/>
        <v/>
      </c>
      <c r="L13" s="58">
        <f>SUMIFS('09 Core Activity &amp; Capacity'!$F$5:$F$74,'09 Core Activity &amp; Capacity'!$A$5:$A$74,A13,'09 Core Activity &amp; Capacity'!$C$5:$C$74,"Individual patients / service users")</f>
        <v>0</v>
      </c>
      <c r="M13" s="55" t="str">
        <f t="shared" si="2"/>
        <v/>
      </c>
      <c r="N13" s="3" t="str">
        <f t="shared" si="3"/>
        <v>Not provided</v>
      </c>
      <c r="O13" s="49">
        <f>SUMIF('16 Calculations'!$A$5:$A$34,A13,'16 Calculations'!$S$5:$S$34)</f>
        <v>0</v>
      </c>
      <c r="P13" s="49">
        <f>SUMIF('16 Calculations'!$A$5:$A$34,A13,'16 Calculations'!$T$5:$T$34)</f>
        <v>0</v>
      </c>
      <c r="Q13" s="49">
        <f>SUMIF('16 Calculations'!$A$5:$A$34,A13,'16 Calculations'!$U$5:$U$34)</f>
        <v>0</v>
      </c>
      <c r="R13" s="21" t="s">
        <v>579</v>
      </c>
      <c r="S13" s="21" t="str">
        <f>IFERROR(IF(INDEX('04 Service Costs'!$I$5:$I$31,MATCH(A13,'04 Service Costs'!$A$5:$A$31,0))="","",INDEX('04 Service Costs'!$I$5:$I$31,MATCH(A13,'04 Service Costs'!$A$5:$A$31,0))),"")</f>
        <v/>
      </c>
    </row>
    <row r="14" spans="1:19" ht="15">
      <c r="A14" s="3" t="s">
        <v>132</v>
      </c>
      <c r="B14" s="3" t="s">
        <v>133</v>
      </c>
      <c r="C14" s="55">
        <f>ROUND(SUMIF('16 Calculations'!$A$5:$A$34,A14,'16 Calculations'!$C$5:$C$34),0)</f>
        <v>0</v>
      </c>
      <c r="D14" s="55">
        <f>ROUND(SUMIF('16 Calculations'!$A$5:$A$34,A14,'16 Calculations'!$D$5:$D$34),0)</f>
        <v>0</v>
      </c>
      <c r="E14" s="55">
        <f>ROUND(SUMIF('16 Calculations'!$A$5:$A$34,A14,'16 Calculations'!$R$5:$R$34)-C14-D14,0)</f>
        <v>0</v>
      </c>
      <c r="F14" s="55">
        <f t="shared" si="4"/>
        <v>0</v>
      </c>
      <c r="G14" s="58">
        <f>SUMIFS('09 Core Activity &amp; Capacity'!$F$5:$F$74,'09 Core Activity &amp; Capacity'!$A$5:$A$74,A14,'09 Core Activity &amp; Capacity'!$D$5:$D$74,"Capacity")</f>
        <v>0</v>
      </c>
      <c r="H14" s="58">
        <f>SUMIFS('09 Core Activity &amp; Capacity'!$F$5:$F$74,'09 Core Activity &amp; Capacity'!$A$5:$A$74,A14,'09 Core Activity &amp; Capacity'!$D$5:$D$74,"Activity")</f>
        <v>0</v>
      </c>
      <c r="I14" s="59" t="str">
        <f t="shared" si="5"/>
        <v/>
      </c>
      <c r="J14" s="59" t="str">
        <f t="shared" si="1"/>
        <v/>
      </c>
      <c r="K14" s="62" t="str">
        <f t="shared" si="6"/>
        <v/>
      </c>
      <c r="L14" s="58">
        <f>SUMIFS('09 Core Activity &amp; Capacity'!$F$5:$F$74,'09 Core Activity &amp; Capacity'!$A$5:$A$74,A14,'09 Core Activity &amp; Capacity'!$C$5:$C$74,"Individual patients / service users")</f>
        <v>0</v>
      </c>
      <c r="M14" s="55" t="str">
        <f t="shared" si="2"/>
        <v/>
      </c>
      <c r="N14" s="3" t="str">
        <f t="shared" si="3"/>
        <v>Not provided</v>
      </c>
      <c r="O14" s="49">
        <f>SUMIF('16 Calculations'!$A$5:$A$34,A14,'16 Calculations'!$S$5:$S$34)</f>
        <v>0</v>
      </c>
      <c r="P14" s="49">
        <f>SUMIF('16 Calculations'!$A$5:$A$34,A14,'16 Calculations'!$T$5:$T$34)</f>
        <v>0</v>
      </c>
      <c r="Q14" s="49">
        <f>SUMIF('16 Calculations'!$A$5:$A$34,A14,'16 Calculations'!$U$5:$U$34)</f>
        <v>0</v>
      </c>
      <c r="R14" s="21" t="s">
        <v>579</v>
      </c>
      <c r="S14" s="21" t="str">
        <f>IFERROR(IF(INDEX('04 Service Costs'!$I$5:$I$31,MATCH(A14,'04 Service Costs'!$A$5:$A$31,0))="","",INDEX('04 Service Costs'!$I$5:$I$31,MATCH(A14,'04 Service Costs'!$A$5:$A$31,0))),"")</f>
        <v/>
      </c>
    </row>
    <row r="15" spans="1:19" ht="15">
      <c r="A15" s="3" t="s">
        <v>134</v>
      </c>
      <c r="B15" s="3" t="s">
        <v>135</v>
      </c>
      <c r="C15" s="55">
        <f>ROUND(SUMIF('16 Calculations'!$A$5:$A$34,A15,'16 Calculations'!$C$5:$C$34),0)</f>
        <v>0</v>
      </c>
      <c r="D15" s="55">
        <f>ROUND(SUMIF('16 Calculations'!$A$5:$A$34,A15,'16 Calculations'!$D$5:$D$34),0)</f>
        <v>0</v>
      </c>
      <c r="E15" s="55">
        <f>ROUND(SUMIF('16 Calculations'!$A$5:$A$34,A15,'16 Calculations'!$R$5:$R$34)-C15-D15,0)</f>
        <v>0</v>
      </c>
      <c r="F15" s="55">
        <f t="shared" si="4"/>
        <v>0</v>
      </c>
      <c r="G15" s="58">
        <f>SUMIFS('09 Core Activity &amp; Capacity'!$F$5:$F$74,'09 Core Activity &amp; Capacity'!$A$5:$A$74,A15,'09 Core Activity &amp; Capacity'!$D$5:$D$74,"Capacity")</f>
        <v>0</v>
      </c>
      <c r="H15" s="58">
        <f>SUMIFS('09 Core Activity &amp; Capacity'!$F$5:$F$74,'09 Core Activity &amp; Capacity'!$A$5:$A$74,A15,'09 Core Activity &amp; Capacity'!$D$5:$D$74,"Activity")</f>
        <v>0</v>
      </c>
      <c r="I15" s="59" t="str">
        <f t="shared" si="5"/>
        <v/>
      </c>
      <c r="J15" s="59" t="str">
        <f t="shared" si="1"/>
        <v/>
      </c>
      <c r="K15" s="62" t="str">
        <f t="shared" si="6"/>
        <v/>
      </c>
      <c r="L15" s="58">
        <f>SUMIFS('09 Core Activity &amp; Capacity'!$F$5:$F$74,'09 Core Activity &amp; Capacity'!$A$5:$A$74,A15,'09 Core Activity &amp; Capacity'!$C$5:$C$74,"Individual patients / service users")</f>
        <v>0</v>
      </c>
      <c r="M15" s="55" t="str">
        <f t="shared" si="2"/>
        <v/>
      </c>
      <c r="N15" s="3" t="str">
        <f t="shared" si="3"/>
        <v>Not provided</v>
      </c>
      <c r="O15" s="49">
        <f>SUMIF('16 Calculations'!$A$5:$A$34,A15,'16 Calculations'!$S$5:$S$34)</f>
        <v>0</v>
      </c>
      <c r="P15" s="49">
        <f>SUMIF('16 Calculations'!$A$5:$A$34,A15,'16 Calculations'!$T$5:$T$34)</f>
        <v>0</v>
      </c>
      <c r="Q15" s="49">
        <f>SUMIF('16 Calculations'!$A$5:$A$34,A15,'16 Calculations'!$U$5:$U$34)</f>
        <v>0</v>
      </c>
      <c r="R15" s="21" t="s">
        <v>579</v>
      </c>
      <c r="S15" s="21" t="str">
        <f>IFERROR(IF(INDEX('04 Service Costs'!$I$5:$I$31,MATCH(A15,'04 Service Costs'!$A$5:$A$31,0))="","",INDEX('04 Service Costs'!$I$5:$I$31,MATCH(A15,'04 Service Costs'!$A$5:$A$31,0))),"")</f>
        <v/>
      </c>
    </row>
    <row r="16" spans="1:19" ht="15">
      <c r="A16" s="3" t="s">
        <v>136</v>
      </c>
      <c r="B16" s="3" t="s">
        <v>137</v>
      </c>
      <c r="C16" s="55">
        <f>ROUND(SUMIF('16 Calculations'!$A$5:$A$34,A16,'16 Calculations'!$C$5:$C$34),0)</f>
        <v>0</v>
      </c>
      <c r="D16" s="55">
        <f>ROUND(SUMIF('16 Calculations'!$A$5:$A$34,A16,'16 Calculations'!$D$5:$D$34),0)</f>
        <v>0</v>
      </c>
      <c r="E16" s="55">
        <f>ROUND(SUMIF('16 Calculations'!$A$5:$A$34,A16,'16 Calculations'!$R$5:$R$34)-C16-D16,0)</f>
        <v>0</v>
      </c>
      <c r="F16" s="55">
        <f t="shared" si="4"/>
        <v>0</v>
      </c>
      <c r="G16" s="58">
        <f>SUMIFS('09 Core Activity &amp; Capacity'!$F$5:$F$74,'09 Core Activity &amp; Capacity'!$A$5:$A$74,A16,'09 Core Activity &amp; Capacity'!$D$5:$D$74,"Capacity")</f>
        <v>0</v>
      </c>
      <c r="H16" s="58">
        <f>SUMIFS('09 Core Activity &amp; Capacity'!$F$5:$F$74,'09 Core Activity &amp; Capacity'!$A$5:$A$74,A16,'09 Core Activity &amp; Capacity'!$D$5:$D$74,"Activity")</f>
        <v>0</v>
      </c>
      <c r="I16" s="59" t="str">
        <f t="shared" si="5"/>
        <v/>
      </c>
      <c r="J16" s="59" t="str">
        <f t="shared" si="1"/>
        <v/>
      </c>
      <c r="K16" s="62" t="str">
        <f t="shared" si="6"/>
        <v/>
      </c>
      <c r="L16" s="58">
        <f>SUMIFS('09 Core Activity &amp; Capacity'!$F$5:$F$74,'09 Core Activity &amp; Capacity'!$A$5:$A$74,A16,'09 Core Activity &amp; Capacity'!$C$5:$C$74,"Individual patients / service users")</f>
        <v>0</v>
      </c>
      <c r="M16" s="55" t="str">
        <f t="shared" si="2"/>
        <v/>
      </c>
      <c r="N16" s="3" t="str">
        <f t="shared" si="3"/>
        <v>Not provided</v>
      </c>
      <c r="O16" s="49">
        <f>SUMIF('16 Calculations'!$A$5:$A$34,A16,'16 Calculations'!$S$5:$S$34)</f>
        <v>0</v>
      </c>
      <c r="P16" s="49">
        <f>SUMIF('16 Calculations'!$A$5:$A$34,A16,'16 Calculations'!$T$5:$T$34)</f>
        <v>0</v>
      </c>
      <c r="Q16" s="49">
        <f>SUMIF('16 Calculations'!$A$5:$A$34,A16,'16 Calculations'!$U$5:$U$34)</f>
        <v>0</v>
      </c>
      <c r="R16" s="21" t="s">
        <v>579</v>
      </c>
      <c r="S16" s="21" t="str">
        <f>IFERROR(IF(INDEX('04 Service Costs'!$I$5:$I$31,MATCH(A16,'04 Service Costs'!$A$5:$A$31,0))="","",INDEX('04 Service Costs'!$I$5:$I$31,MATCH(A16,'04 Service Costs'!$A$5:$A$31,0))),"")</f>
        <v/>
      </c>
    </row>
    <row r="17" spans="1:19" ht="15">
      <c r="A17" s="3" t="s">
        <v>138</v>
      </c>
      <c r="B17" s="3" t="s">
        <v>140</v>
      </c>
      <c r="C17" s="55">
        <f>ROUND(SUMIF('16 Calculations'!$A$5:$A$34,A17,'16 Calculations'!$C$5:$C$34),0)</f>
        <v>0</v>
      </c>
      <c r="D17" s="55">
        <f>ROUND(SUMIF('16 Calculations'!$A$5:$A$34,A17,'16 Calculations'!$D$5:$D$34),0)</f>
        <v>0</v>
      </c>
      <c r="E17" s="55">
        <f>ROUND(SUMIF('16 Calculations'!$A$5:$A$34,A17,'16 Calculations'!$R$5:$R$34)-C17-D17,0)</f>
        <v>0</v>
      </c>
      <c r="F17" s="55">
        <f t="shared" si="4"/>
        <v>0</v>
      </c>
      <c r="G17" s="58">
        <f>SUMIFS('09 Core Activity &amp; Capacity'!$F$5:$F$74,'09 Core Activity &amp; Capacity'!$A$5:$A$74,A17,'09 Core Activity &amp; Capacity'!$D$5:$D$74,"Capacity")</f>
        <v>0</v>
      </c>
      <c r="H17" s="58">
        <f>SUMIFS('09 Core Activity &amp; Capacity'!$F$5:$F$74,'09 Core Activity &amp; Capacity'!$A$5:$A$74,A17,'09 Core Activity &amp; Capacity'!$D$5:$D$74,"Activity")</f>
        <v>0</v>
      </c>
      <c r="I17" s="59" t="str">
        <f t="shared" si="5"/>
        <v/>
      </c>
      <c r="J17" s="59" t="str">
        <f t="shared" si="1"/>
        <v/>
      </c>
      <c r="K17" s="62" t="str">
        <f t="shared" si="6"/>
        <v/>
      </c>
      <c r="L17" s="58">
        <f>SUMIFS('09 Core Activity &amp; Capacity'!$F$5:$F$74,'09 Core Activity &amp; Capacity'!$A$5:$A$74,A17,'09 Core Activity &amp; Capacity'!$C$5:$C$74,"Individual patients / service users")</f>
        <v>0</v>
      </c>
      <c r="M17" s="55" t="str">
        <f t="shared" si="2"/>
        <v/>
      </c>
      <c r="N17" s="3" t="str">
        <f t="shared" si="3"/>
        <v>Not provided</v>
      </c>
      <c r="O17" s="49">
        <f>SUMIF('16 Calculations'!$A$5:$A$34,A17,'16 Calculations'!$S$5:$S$34)</f>
        <v>0</v>
      </c>
      <c r="P17" s="49">
        <f>SUMIF('16 Calculations'!$A$5:$A$34,A17,'16 Calculations'!$T$5:$T$34)</f>
        <v>0</v>
      </c>
      <c r="Q17" s="49">
        <f>SUMIF('16 Calculations'!$A$5:$A$34,A17,'16 Calculations'!$U$5:$U$34)</f>
        <v>0</v>
      </c>
      <c r="R17" s="21" t="s">
        <v>579</v>
      </c>
      <c r="S17" s="21" t="str">
        <f>IFERROR(IF(INDEX('04 Service Costs'!$I$5:$I$31,MATCH(A17,'04 Service Costs'!$A$5:$A$31,0))="","",INDEX('04 Service Costs'!$I$5:$I$31,MATCH(A17,'04 Service Costs'!$A$5:$A$31,0))),"")</f>
        <v/>
      </c>
    </row>
    <row r="18" spans="1:19" ht="15">
      <c r="A18" s="3" t="s">
        <v>141</v>
      </c>
      <c r="B18" s="3" t="s">
        <v>142</v>
      </c>
      <c r="C18" s="55">
        <f>ROUND(SUMIF('16 Calculations'!$A$5:$A$34,A18,'16 Calculations'!$C$5:$C$34),0)</f>
        <v>0</v>
      </c>
      <c r="D18" s="55">
        <f>ROUND(SUMIF('16 Calculations'!$A$5:$A$34,A18,'16 Calculations'!$D$5:$D$34),0)</f>
        <v>0</v>
      </c>
      <c r="E18" s="55">
        <f>ROUND(SUMIF('16 Calculations'!$A$5:$A$34,A18,'16 Calculations'!$R$5:$R$34)-C18-D18,0)</f>
        <v>0</v>
      </c>
      <c r="F18" s="55">
        <f t="shared" si="4"/>
        <v>0</v>
      </c>
      <c r="G18" s="58">
        <f>SUMIFS('09 Core Activity &amp; Capacity'!$F$5:$F$74,'09 Core Activity &amp; Capacity'!$A$5:$A$74,A18,'09 Core Activity &amp; Capacity'!$D$5:$D$74,"Capacity")</f>
        <v>0</v>
      </c>
      <c r="H18" s="58">
        <f>SUMIFS('09 Core Activity &amp; Capacity'!$F$5:$F$74,'09 Core Activity &amp; Capacity'!$A$5:$A$74,A18,'09 Core Activity &amp; Capacity'!$D$5:$D$74,"Activity")</f>
        <v>0</v>
      </c>
      <c r="I18" s="59" t="str">
        <f t="shared" si="5"/>
        <v/>
      </c>
      <c r="J18" s="59" t="str">
        <f t="shared" si="1"/>
        <v/>
      </c>
      <c r="K18" s="62" t="str">
        <f t="shared" si="6"/>
        <v/>
      </c>
      <c r="L18" s="58">
        <f>SUMIFS('09 Core Activity &amp; Capacity'!$F$5:$F$74,'09 Core Activity &amp; Capacity'!$A$5:$A$74,A18,'09 Core Activity &amp; Capacity'!$C$5:$C$74,"Individual patients / service users")</f>
        <v>0</v>
      </c>
      <c r="M18" s="55" t="str">
        <f t="shared" si="2"/>
        <v/>
      </c>
      <c r="N18" s="3" t="str">
        <f t="shared" si="3"/>
        <v>Not provided</v>
      </c>
      <c r="O18" s="49">
        <f>SUMIF('16 Calculations'!$A$5:$A$34,A18,'16 Calculations'!$S$5:$S$34)</f>
        <v>0</v>
      </c>
      <c r="P18" s="49">
        <f>SUMIF('16 Calculations'!$A$5:$A$34,A18,'16 Calculations'!$T$5:$T$34)</f>
        <v>0</v>
      </c>
      <c r="Q18" s="49">
        <f>SUMIF('16 Calculations'!$A$5:$A$34,A18,'16 Calculations'!$U$5:$U$34)</f>
        <v>0</v>
      </c>
      <c r="R18" s="21" t="s">
        <v>579</v>
      </c>
      <c r="S18" s="21" t="str">
        <f>IFERROR(IF(INDEX('04 Service Costs'!$I$5:$I$31,MATCH(A18,'04 Service Costs'!$A$5:$A$31,0))="","",INDEX('04 Service Costs'!$I$5:$I$31,MATCH(A18,'04 Service Costs'!$A$5:$A$31,0))),"")</f>
        <v/>
      </c>
    </row>
    <row r="19" spans="1:19" ht="15">
      <c r="A19" s="3" t="s">
        <v>143</v>
      </c>
      <c r="B19" s="3" t="s">
        <v>144</v>
      </c>
      <c r="C19" s="55">
        <f>ROUND(SUMIF('16 Calculations'!$A$5:$A$34,A19,'16 Calculations'!$C$5:$C$34),0)</f>
        <v>0</v>
      </c>
      <c r="D19" s="55">
        <f>ROUND(SUMIF('16 Calculations'!$A$5:$A$34,A19,'16 Calculations'!$D$5:$D$34),0)</f>
        <v>0</v>
      </c>
      <c r="E19" s="55">
        <f>ROUND(SUMIF('16 Calculations'!$A$5:$A$34,A19,'16 Calculations'!$R$5:$R$34)-C19-D19,0)</f>
        <v>0</v>
      </c>
      <c r="F19" s="55">
        <f t="shared" si="4"/>
        <v>0</v>
      </c>
      <c r="G19" s="58">
        <f>SUMIFS('09 Core Activity &amp; Capacity'!$F$5:$F$74,'09 Core Activity &amp; Capacity'!$A$5:$A$74,A19,'09 Core Activity &amp; Capacity'!$D$5:$D$74,"Capacity")</f>
        <v>0</v>
      </c>
      <c r="H19" s="58">
        <f>SUMIFS('09 Core Activity &amp; Capacity'!$F$5:$F$74,'09 Core Activity &amp; Capacity'!$A$5:$A$74,A19,'09 Core Activity &amp; Capacity'!$D$5:$D$74,"Activity")</f>
        <v>0</v>
      </c>
      <c r="I19" s="59" t="str">
        <f t="shared" si="5"/>
        <v/>
      </c>
      <c r="J19" s="59" t="str">
        <f t="shared" si="1"/>
        <v/>
      </c>
      <c r="K19" s="62" t="str">
        <f t="shared" si="6"/>
        <v/>
      </c>
      <c r="L19" s="58">
        <f>SUMIFS('09 Core Activity &amp; Capacity'!$F$5:$F$74,'09 Core Activity &amp; Capacity'!$A$5:$A$74,A19,'09 Core Activity &amp; Capacity'!$C$5:$C$74,"Individual patients / service users")</f>
        <v>0</v>
      </c>
      <c r="M19" s="55" t="str">
        <f t="shared" si="2"/>
        <v/>
      </c>
      <c r="N19" s="3" t="str">
        <f t="shared" si="3"/>
        <v>Not provided</v>
      </c>
      <c r="O19" s="49">
        <f>SUMIF('16 Calculations'!$A$5:$A$34,A19,'16 Calculations'!$S$5:$S$34)</f>
        <v>0</v>
      </c>
      <c r="P19" s="49">
        <f>SUMIF('16 Calculations'!$A$5:$A$34,A19,'16 Calculations'!$T$5:$T$34)</f>
        <v>0</v>
      </c>
      <c r="Q19" s="49">
        <f>SUMIF('16 Calculations'!$A$5:$A$34,A19,'16 Calculations'!$U$5:$U$34)</f>
        <v>0</v>
      </c>
      <c r="R19" s="21" t="s">
        <v>579</v>
      </c>
      <c r="S19" s="21" t="str">
        <f>IFERROR(IF(INDEX('04 Service Costs'!$I$5:$I$31,MATCH(A19,'04 Service Costs'!$A$5:$A$31,0))="","",INDEX('04 Service Costs'!$I$5:$I$31,MATCH(A19,'04 Service Costs'!$A$5:$A$31,0))),"")</f>
        <v/>
      </c>
    </row>
    <row r="20" spans="1:19" ht="15">
      <c r="A20" s="3" t="s">
        <v>145</v>
      </c>
      <c r="B20" s="3" t="s">
        <v>148</v>
      </c>
      <c r="C20" s="55">
        <f>ROUND(SUMIF('16 Calculations'!$A$5:$A$34,A20,'16 Calculations'!$C$5:$C$34),0)</f>
        <v>0</v>
      </c>
      <c r="D20" s="55">
        <f>ROUND(SUMIF('16 Calculations'!$A$5:$A$34,A20,'16 Calculations'!$D$5:$D$34),0)</f>
        <v>0</v>
      </c>
      <c r="E20" s="55">
        <f>ROUND(SUMIF('16 Calculations'!$A$5:$A$34,A20,'16 Calculations'!$R$5:$R$34)-C20-D20,0)</f>
        <v>0</v>
      </c>
      <c r="F20" s="55">
        <f t="shared" si="4"/>
        <v>0</v>
      </c>
      <c r="G20" s="58">
        <f>SUMIFS('09 Core Activity &amp; Capacity'!$F$5:$F$74,'09 Core Activity &amp; Capacity'!$A$5:$A$74,A20,'09 Core Activity &amp; Capacity'!$D$5:$D$74,"Capacity")</f>
        <v>0</v>
      </c>
      <c r="H20" s="58">
        <f>SUMIFS('09 Core Activity &amp; Capacity'!$F$5:$F$74,'09 Core Activity &amp; Capacity'!$A$5:$A$74,A20,'09 Core Activity &amp; Capacity'!$D$5:$D$74,"Activity")</f>
        <v>0</v>
      </c>
      <c r="I20" s="59" t="str">
        <f t="shared" si="5"/>
        <v/>
      </c>
      <c r="J20" s="59" t="str">
        <f t="shared" si="1"/>
        <v/>
      </c>
      <c r="K20" s="62" t="str">
        <f t="shared" si="6"/>
        <v/>
      </c>
      <c r="L20" s="58">
        <f>SUMIFS('09 Core Activity &amp; Capacity'!$F$5:$F$74,'09 Core Activity &amp; Capacity'!$A$5:$A$74,A20,'09 Core Activity &amp; Capacity'!$C$5:$C$74,"Individual patients / service users")</f>
        <v>0</v>
      </c>
      <c r="M20" s="55" t="str">
        <f t="shared" si="2"/>
        <v/>
      </c>
      <c r="N20" s="3" t="str">
        <f t="shared" si="3"/>
        <v>Not provided</v>
      </c>
      <c r="O20" s="49">
        <f>SUMIF('16 Calculations'!$A$5:$A$34,A20,'16 Calculations'!$S$5:$S$34)</f>
        <v>0</v>
      </c>
      <c r="P20" s="49">
        <f>SUMIF('16 Calculations'!$A$5:$A$34,A20,'16 Calculations'!$T$5:$T$34)</f>
        <v>0</v>
      </c>
      <c r="Q20" s="49">
        <f>SUMIF('16 Calculations'!$A$5:$A$34,A20,'16 Calculations'!$U$5:$U$34)</f>
        <v>0</v>
      </c>
      <c r="R20" s="21" t="s">
        <v>579</v>
      </c>
      <c r="S20" s="21" t="str">
        <f>IFERROR(IF(INDEX('04 Service Costs'!$I$5:$I$31,MATCH(A20,'04 Service Costs'!$A$5:$A$31,0))="","",INDEX('04 Service Costs'!$I$5:$I$31,MATCH(A20,'04 Service Costs'!$A$5:$A$31,0))),"")</f>
        <v/>
      </c>
    </row>
    <row r="21" spans="1:19" ht="15">
      <c r="A21" s="3" t="s">
        <v>149</v>
      </c>
      <c r="B21" s="3" t="s">
        <v>150</v>
      </c>
      <c r="C21" s="55">
        <f>ROUND(SUMIF('16 Calculations'!$A$5:$A$34,A21,'16 Calculations'!$C$5:$C$34),0)</f>
        <v>0</v>
      </c>
      <c r="D21" s="55">
        <f>ROUND(SUMIF('16 Calculations'!$A$5:$A$34,A21,'16 Calculations'!$D$5:$D$34),0)</f>
        <v>0</v>
      </c>
      <c r="E21" s="55">
        <f>ROUND(SUMIF('16 Calculations'!$A$5:$A$34,A21,'16 Calculations'!$R$5:$R$34)-C21-D21,0)</f>
        <v>0</v>
      </c>
      <c r="F21" s="55">
        <f t="shared" si="4"/>
        <v>0</v>
      </c>
      <c r="G21" s="58">
        <f>SUMIFS('09 Core Activity &amp; Capacity'!$F$5:$F$74,'09 Core Activity &amp; Capacity'!$A$5:$A$74,A21,'09 Core Activity &amp; Capacity'!$D$5:$D$74,"Capacity")</f>
        <v>0</v>
      </c>
      <c r="H21" s="58">
        <f>SUMIFS('09 Core Activity &amp; Capacity'!$F$5:$F$74,'09 Core Activity &amp; Capacity'!$A$5:$A$74,A21,'09 Core Activity &amp; Capacity'!$D$5:$D$74,"Activity")</f>
        <v>0</v>
      </c>
      <c r="I21" s="59" t="str">
        <f t="shared" si="5"/>
        <v/>
      </c>
      <c r="J21" s="59" t="str">
        <f t="shared" si="1"/>
        <v/>
      </c>
      <c r="K21" s="62" t="str">
        <f t="shared" si="6"/>
        <v/>
      </c>
      <c r="L21" s="58">
        <f>SUMIFS('09 Core Activity &amp; Capacity'!$F$5:$F$74,'09 Core Activity &amp; Capacity'!$A$5:$A$74,A21,'09 Core Activity &amp; Capacity'!$C$5:$C$74,"Individual patients / service users")</f>
        <v>0</v>
      </c>
      <c r="M21" s="55" t="str">
        <f t="shared" si="2"/>
        <v/>
      </c>
      <c r="N21" s="3" t="str">
        <f t="shared" si="3"/>
        <v>Not provided</v>
      </c>
      <c r="O21" s="49">
        <f>SUMIF('16 Calculations'!$A$5:$A$34,A21,'16 Calculations'!$S$5:$S$34)</f>
        <v>0</v>
      </c>
      <c r="P21" s="49">
        <f>SUMIF('16 Calculations'!$A$5:$A$34,A21,'16 Calculations'!$T$5:$T$34)</f>
        <v>0</v>
      </c>
      <c r="Q21" s="49">
        <f>SUMIF('16 Calculations'!$A$5:$A$34,A21,'16 Calculations'!$U$5:$U$34)</f>
        <v>0</v>
      </c>
      <c r="R21" s="21" t="s">
        <v>579</v>
      </c>
      <c r="S21" s="21" t="str">
        <f>IFERROR(IF(INDEX('04 Service Costs'!$I$5:$I$31,MATCH(A21,'04 Service Costs'!$A$5:$A$31,0))="","",INDEX('04 Service Costs'!$I$5:$I$31,MATCH(A21,'04 Service Costs'!$A$5:$A$31,0))),"")</f>
        <v/>
      </c>
    </row>
    <row r="22" spans="1:19" ht="15">
      <c r="A22" s="3" t="s">
        <v>151</v>
      </c>
      <c r="B22" s="3" t="s">
        <v>152</v>
      </c>
      <c r="C22" s="55">
        <f>ROUND(SUMIF('16 Calculations'!$A$5:$A$34,A22,'16 Calculations'!$C$5:$C$34),0)</f>
        <v>0</v>
      </c>
      <c r="D22" s="55">
        <f>ROUND(SUMIF('16 Calculations'!$A$5:$A$34,A22,'16 Calculations'!$D$5:$D$34),0)</f>
        <v>0</v>
      </c>
      <c r="E22" s="55">
        <f>ROUND(SUMIF('16 Calculations'!$A$5:$A$34,A22,'16 Calculations'!$R$5:$R$34)-C22-D22,0)</f>
        <v>0</v>
      </c>
      <c r="F22" s="55">
        <f t="shared" si="4"/>
        <v>0</v>
      </c>
      <c r="G22" s="58">
        <f>SUMIFS('09 Core Activity &amp; Capacity'!$F$5:$F$74,'09 Core Activity &amp; Capacity'!$A$5:$A$74,A22,'09 Core Activity &amp; Capacity'!$D$5:$D$74,"Capacity")</f>
        <v>0</v>
      </c>
      <c r="H22" s="58">
        <f>SUMIFS('09 Core Activity &amp; Capacity'!$F$5:$F$74,'09 Core Activity &amp; Capacity'!$A$5:$A$74,A22,'09 Core Activity &amp; Capacity'!$D$5:$D$74,"Activity")</f>
        <v>0</v>
      </c>
      <c r="I22" s="59" t="str">
        <f t="shared" si="5"/>
        <v/>
      </c>
      <c r="J22" s="59" t="str">
        <f t="shared" si="1"/>
        <v/>
      </c>
      <c r="K22" s="62" t="str">
        <f t="shared" si="6"/>
        <v/>
      </c>
      <c r="L22" s="58">
        <f>SUMIFS('09 Core Activity &amp; Capacity'!$F$5:$F$74,'09 Core Activity &amp; Capacity'!$A$5:$A$74,A22,'09 Core Activity &amp; Capacity'!$C$5:$C$74,"Individual patients / service users")</f>
        <v>0</v>
      </c>
      <c r="M22" s="55" t="str">
        <f t="shared" si="2"/>
        <v/>
      </c>
      <c r="N22" s="3" t="str">
        <f t="shared" si="3"/>
        <v>Not provided</v>
      </c>
      <c r="O22" s="49">
        <f>SUMIF('16 Calculations'!$A$5:$A$34,A22,'16 Calculations'!$S$5:$S$34)</f>
        <v>0</v>
      </c>
      <c r="P22" s="49">
        <f>SUMIF('16 Calculations'!$A$5:$A$34,A22,'16 Calculations'!$T$5:$T$34)</f>
        <v>0</v>
      </c>
      <c r="Q22" s="49">
        <f>SUMIF('16 Calculations'!$A$5:$A$34,A22,'16 Calculations'!$U$5:$U$34)</f>
        <v>0</v>
      </c>
      <c r="R22" s="21" t="s">
        <v>579</v>
      </c>
      <c r="S22" s="21" t="str">
        <f>IFERROR(IF(INDEX('04 Service Costs'!$I$5:$I$31,MATCH(A22,'04 Service Costs'!$A$5:$A$31,0))="","",INDEX('04 Service Costs'!$I$5:$I$31,MATCH(A22,'04 Service Costs'!$A$5:$A$31,0))),"")</f>
        <v/>
      </c>
    </row>
    <row r="23" spans="1:19" ht="15">
      <c r="A23" s="3" t="s">
        <v>153</v>
      </c>
      <c r="B23" s="3" t="s">
        <v>154</v>
      </c>
      <c r="C23" s="55">
        <f>ROUND(SUMIF('16 Calculations'!$A$5:$A$34,A23,'16 Calculations'!$C$5:$C$34),0)</f>
        <v>0</v>
      </c>
      <c r="D23" s="55">
        <f>ROUND(SUMIF('16 Calculations'!$A$5:$A$34,A23,'16 Calculations'!$D$5:$D$34),0)</f>
        <v>0</v>
      </c>
      <c r="E23" s="55">
        <f>ROUND(SUMIF('16 Calculations'!$A$5:$A$34,A23,'16 Calculations'!$R$5:$R$34)-C23-D23,0)</f>
        <v>0</v>
      </c>
      <c r="F23" s="55">
        <f t="shared" si="4"/>
        <v>0</v>
      </c>
      <c r="G23" s="58">
        <f>SUMIFS('09 Core Activity &amp; Capacity'!$F$5:$F$74,'09 Core Activity &amp; Capacity'!$A$5:$A$74,A23,'09 Core Activity &amp; Capacity'!$D$5:$D$74,"Capacity")</f>
        <v>0</v>
      </c>
      <c r="H23" s="58">
        <f>SUMIFS('09 Core Activity &amp; Capacity'!$F$5:$F$74,'09 Core Activity &amp; Capacity'!$A$5:$A$74,A23,'09 Core Activity &amp; Capacity'!$D$5:$D$74,"Activity")</f>
        <v>0</v>
      </c>
      <c r="I23" s="59" t="str">
        <f t="shared" si="5"/>
        <v/>
      </c>
      <c r="J23" s="59" t="str">
        <f t="shared" si="1"/>
        <v/>
      </c>
      <c r="K23" s="62" t="str">
        <f t="shared" si="6"/>
        <v/>
      </c>
      <c r="L23" s="58">
        <f>SUMIFS('09 Core Activity &amp; Capacity'!$F$5:$F$74,'09 Core Activity &amp; Capacity'!$A$5:$A$74,A23,'09 Core Activity &amp; Capacity'!$C$5:$C$74,"Individual patients / service users")</f>
        <v>0</v>
      </c>
      <c r="M23" s="55" t="str">
        <f t="shared" si="2"/>
        <v/>
      </c>
      <c r="N23" s="3" t="str">
        <f t="shared" si="3"/>
        <v>Not provided</v>
      </c>
      <c r="O23" s="49">
        <f>SUMIF('16 Calculations'!$A$5:$A$34,A23,'16 Calculations'!$S$5:$S$34)</f>
        <v>0</v>
      </c>
      <c r="P23" s="49">
        <f>SUMIF('16 Calculations'!$A$5:$A$34,A23,'16 Calculations'!$T$5:$T$34)</f>
        <v>0</v>
      </c>
      <c r="Q23" s="49">
        <f>SUMIF('16 Calculations'!$A$5:$A$34,A23,'16 Calculations'!$U$5:$U$34)</f>
        <v>0</v>
      </c>
      <c r="R23" s="21" t="s">
        <v>579</v>
      </c>
      <c r="S23" s="21" t="str">
        <f>IFERROR(IF(INDEX('04 Service Costs'!$I$5:$I$31,MATCH(A23,'04 Service Costs'!$A$5:$A$31,0))="","",INDEX('04 Service Costs'!$I$5:$I$31,MATCH(A23,'04 Service Costs'!$A$5:$A$31,0))),"")</f>
        <v/>
      </c>
    </row>
    <row r="24" spans="1:19" ht="15">
      <c r="A24" s="3" t="s">
        <v>155</v>
      </c>
      <c r="B24" s="3" t="s">
        <v>121</v>
      </c>
      <c r="C24" s="55">
        <f>ROUND(SUMIF('16 Calculations'!$A$5:$A$34,A24,'16 Calculations'!$C$5:$C$34),0)</f>
        <v>0</v>
      </c>
      <c r="D24" s="55">
        <f>ROUND(SUMIF('16 Calculations'!$A$5:$A$34,A24,'16 Calculations'!$D$5:$D$34),0)</f>
        <v>0</v>
      </c>
      <c r="E24" s="55">
        <f>ROUND(SUMIF('16 Calculations'!$A$5:$A$34,A24,'16 Calculations'!$R$5:$R$34)-C24-D24,0)</f>
        <v>0</v>
      </c>
      <c r="F24" s="55">
        <f t="shared" si="4"/>
        <v>0</v>
      </c>
      <c r="G24" s="58">
        <f>SUMIFS('09 Core Activity &amp; Capacity'!$F$5:$F$74,'09 Core Activity &amp; Capacity'!$A$5:$A$74,A24,'09 Core Activity &amp; Capacity'!$D$5:$D$74,"Capacity")</f>
        <v>0</v>
      </c>
      <c r="H24" s="58">
        <f>SUMIFS('09 Core Activity &amp; Capacity'!$F$5:$F$74,'09 Core Activity &amp; Capacity'!$A$5:$A$74,A24,'09 Core Activity &amp; Capacity'!$D$5:$D$74,"Activity")</f>
        <v>0</v>
      </c>
      <c r="I24" s="59" t="str">
        <f t="shared" si="5"/>
        <v/>
      </c>
      <c r="J24" s="59" t="str">
        <f t="shared" si="1"/>
        <v/>
      </c>
      <c r="K24" s="62" t="str">
        <f t="shared" si="6"/>
        <v/>
      </c>
      <c r="L24" s="58">
        <f>SUMIFS('09 Core Activity &amp; Capacity'!$F$5:$F$74,'09 Core Activity &amp; Capacity'!$A$5:$A$74,A24,'09 Core Activity &amp; Capacity'!$C$5:$C$74,"Individual patients / service users")</f>
        <v>0</v>
      </c>
      <c r="M24" s="55" t="str">
        <f t="shared" si="2"/>
        <v/>
      </c>
      <c r="N24" s="3" t="str">
        <f t="shared" si="3"/>
        <v>Not provided</v>
      </c>
      <c r="O24" s="49">
        <f>SUMIF('16 Calculations'!$A$5:$A$34,A24,'16 Calculations'!$S$5:$S$34)</f>
        <v>0</v>
      </c>
      <c r="P24" s="49">
        <f>SUMIF('16 Calculations'!$A$5:$A$34,A24,'16 Calculations'!$T$5:$T$34)</f>
        <v>0</v>
      </c>
      <c r="Q24" s="49">
        <f>SUMIF('16 Calculations'!$A$5:$A$34,A24,'16 Calculations'!$U$5:$U$34)</f>
        <v>0</v>
      </c>
      <c r="R24" s="21" t="s">
        <v>579</v>
      </c>
      <c r="S24" s="21" t="str">
        <f>IFERROR(IF(INDEX('04 Service Costs'!$I$5:$I$31,MATCH(A24,'04 Service Costs'!$A$5:$A$31,0))="","",INDEX('04 Service Costs'!$I$5:$I$31,MATCH(A24,'04 Service Costs'!$A$5:$A$31,0))),"")</f>
        <v/>
      </c>
    </row>
    <row r="25" spans="1:19" ht="15">
      <c r="A25" s="3" t="s">
        <v>156</v>
      </c>
      <c r="B25" s="3" t="s">
        <v>157</v>
      </c>
      <c r="C25" s="55">
        <f>ROUND(SUMIF('16 Calculations'!$A$5:$A$34,A25,'16 Calculations'!$C$5:$C$34),0)</f>
        <v>0</v>
      </c>
      <c r="D25" s="55">
        <f>ROUND(SUMIF('16 Calculations'!$A$5:$A$34,A25,'16 Calculations'!$D$5:$D$34),0)</f>
        <v>0</v>
      </c>
      <c r="E25" s="55">
        <f>ROUND(SUMIF('16 Calculations'!$A$5:$A$34,A25,'16 Calculations'!$R$5:$R$34)-C25-D25,0)</f>
        <v>0</v>
      </c>
      <c r="F25" s="55">
        <f t="shared" si="4"/>
        <v>0</v>
      </c>
      <c r="G25" s="58">
        <f>SUMIFS('09 Core Activity &amp; Capacity'!$F$5:$F$74,'09 Core Activity &amp; Capacity'!$A$5:$A$74,A25,'09 Core Activity &amp; Capacity'!$D$5:$D$74,"Capacity")</f>
        <v>0</v>
      </c>
      <c r="H25" s="58">
        <f>SUMIFS('09 Core Activity &amp; Capacity'!$F$5:$F$74,'09 Core Activity &amp; Capacity'!$A$5:$A$74,A25,'09 Core Activity &amp; Capacity'!$D$5:$D$74,"Activity")</f>
        <v>0</v>
      </c>
      <c r="I25" s="59" t="str">
        <f t="shared" si="5"/>
        <v/>
      </c>
      <c r="J25" s="59" t="str">
        <f t="shared" si="1"/>
        <v/>
      </c>
      <c r="K25" s="62" t="str">
        <f t="shared" si="6"/>
        <v/>
      </c>
      <c r="L25" s="58">
        <f>SUMIFS('09 Core Activity &amp; Capacity'!$F$5:$F$74,'09 Core Activity &amp; Capacity'!$A$5:$A$74,A25,'09 Core Activity &amp; Capacity'!$C$5:$C$74,"Individual patients / service users")</f>
        <v>0</v>
      </c>
      <c r="M25" s="55" t="str">
        <f t="shared" si="2"/>
        <v/>
      </c>
      <c r="N25" s="3" t="str">
        <f t="shared" si="3"/>
        <v>Not provided</v>
      </c>
      <c r="O25" s="49">
        <f>SUMIF('16 Calculations'!$A$5:$A$34,A25,'16 Calculations'!$S$5:$S$34)</f>
        <v>0</v>
      </c>
      <c r="P25" s="49">
        <f>SUMIF('16 Calculations'!$A$5:$A$34,A25,'16 Calculations'!$T$5:$T$34)</f>
        <v>0</v>
      </c>
      <c r="Q25" s="49">
        <f>SUMIF('16 Calculations'!$A$5:$A$34,A25,'16 Calculations'!$U$5:$U$34)</f>
        <v>0</v>
      </c>
      <c r="R25" s="21" t="s">
        <v>579</v>
      </c>
      <c r="S25" s="21" t="str">
        <f>IFERROR(IF(INDEX('04 Service Costs'!$I$5:$I$31,MATCH(A25,'04 Service Costs'!$A$5:$A$31,0))="","",INDEX('04 Service Costs'!$I$5:$I$31,MATCH(A25,'04 Service Costs'!$A$5:$A$31,0))),"")</f>
        <v/>
      </c>
    </row>
    <row r="26" spans="1:19" ht="15">
      <c r="A26" s="3" t="s">
        <v>158</v>
      </c>
      <c r="B26" s="3" t="s">
        <v>159</v>
      </c>
      <c r="C26" s="55">
        <f>ROUND(SUMIF('16 Calculations'!$A$5:$A$34,A26,'16 Calculations'!$C$5:$C$34),0)</f>
        <v>0</v>
      </c>
      <c r="D26" s="55">
        <f>ROUND(SUMIF('16 Calculations'!$A$5:$A$34,A26,'16 Calculations'!$D$5:$D$34),0)</f>
        <v>0</v>
      </c>
      <c r="E26" s="55">
        <f>ROUND(SUMIF('16 Calculations'!$A$5:$A$34,A26,'16 Calculations'!$R$5:$R$34)-C26-D26,0)</f>
        <v>0</v>
      </c>
      <c r="F26" s="55">
        <f t="shared" si="4"/>
        <v>0</v>
      </c>
      <c r="G26" s="58">
        <f>SUMIFS('09 Core Activity &amp; Capacity'!$F$5:$F$74,'09 Core Activity &amp; Capacity'!$A$5:$A$74,A26,'09 Core Activity &amp; Capacity'!$D$5:$D$74,"Capacity")</f>
        <v>0</v>
      </c>
      <c r="H26" s="58">
        <f>SUMIFS('09 Core Activity &amp; Capacity'!$F$5:$F$74,'09 Core Activity &amp; Capacity'!$A$5:$A$74,A26,'09 Core Activity &amp; Capacity'!$D$5:$D$74,"Activity")</f>
        <v>0</v>
      </c>
      <c r="I26" s="59" t="str">
        <f t="shared" si="5"/>
        <v/>
      </c>
      <c r="J26" s="59" t="str">
        <f t="shared" si="1"/>
        <v/>
      </c>
      <c r="K26" s="62" t="str">
        <f t="shared" si="6"/>
        <v/>
      </c>
      <c r="L26" s="58">
        <f>SUMIFS('09 Core Activity &amp; Capacity'!$F$5:$F$74,'09 Core Activity &amp; Capacity'!$A$5:$A$74,A26,'09 Core Activity &amp; Capacity'!$C$5:$C$74,"Individual patients / service users")</f>
        <v>0</v>
      </c>
      <c r="M26" s="55" t="str">
        <f t="shared" si="2"/>
        <v/>
      </c>
      <c r="N26" s="3" t="str">
        <f t="shared" si="3"/>
        <v>Not provided</v>
      </c>
      <c r="O26" s="49">
        <f>SUMIF('16 Calculations'!$A$5:$A$34,A26,'16 Calculations'!$S$5:$S$34)</f>
        <v>0</v>
      </c>
      <c r="P26" s="49">
        <f>SUMIF('16 Calculations'!$A$5:$A$34,A26,'16 Calculations'!$T$5:$T$34)</f>
        <v>0</v>
      </c>
      <c r="Q26" s="49">
        <f>SUMIF('16 Calculations'!$A$5:$A$34,A26,'16 Calculations'!$U$5:$U$34)</f>
        <v>0</v>
      </c>
      <c r="R26" s="21" t="s">
        <v>579</v>
      </c>
      <c r="S26" s="21" t="str">
        <f>IFERROR(IF(INDEX('04 Service Costs'!$I$5:$I$31,MATCH(A26,'04 Service Costs'!$A$5:$A$31,0))="","",INDEX('04 Service Costs'!$I$5:$I$31,MATCH(A26,'04 Service Costs'!$A$5:$A$31,0))),"")</f>
        <v/>
      </c>
    </row>
    <row r="27" spans="1:19" ht="15">
      <c r="A27" s="3" t="s">
        <v>160</v>
      </c>
      <c r="B27" s="3" t="s">
        <v>161</v>
      </c>
      <c r="C27" s="55">
        <f>ROUND(SUMIF('16 Calculations'!$A$5:$A$34,A27,'16 Calculations'!$C$5:$C$34),0)</f>
        <v>0</v>
      </c>
      <c r="D27" s="55">
        <f>ROUND(SUMIF('16 Calculations'!$A$5:$A$34,A27,'16 Calculations'!$D$5:$D$34),0)</f>
        <v>0</v>
      </c>
      <c r="E27" s="55">
        <f>ROUND(SUMIF('16 Calculations'!$A$5:$A$34,A27,'16 Calculations'!$R$5:$R$34)-C27-D27,0)</f>
        <v>0</v>
      </c>
      <c r="F27" s="55">
        <f t="shared" si="4"/>
        <v>0</v>
      </c>
      <c r="G27" s="58">
        <f>SUMIFS('09 Core Activity &amp; Capacity'!$F$5:$F$74,'09 Core Activity &amp; Capacity'!$A$5:$A$74,A27,'09 Core Activity &amp; Capacity'!$D$5:$D$74,"Capacity")</f>
        <v>0</v>
      </c>
      <c r="H27" s="58">
        <f>SUMIFS('09 Core Activity &amp; Capacity'!$F$5:$F$74,'09 Core Activity &amp; Capacity'!$A$5:$A$74,A27,'09 Core Activity &amp; Capacity'!$D$5:$D$74,"Activity")</f>
        <v>0</v>
      </c>
      <c r="I27" s="59" t="str">
        <f t="shared" si="5"/>
        <v/>
      </c>
      <c r="J27" s="59" t="str">
        <f t="shared" si="1"/>
        <v/>
      </c>
      <c r="K27" s="62" t="str">
        <f t="shared" si="6"/>
        <v/>
      </c>
      <c r="L27" s="58">
        <f>SUMIFS('09 Core Activity &amp; Capacity'!$F$5:$F$74,'09 Core Activity &amp; Capacity'!$A$5:$A$74,A27,'09 Core Activity &amp; Capacity'!$C$5:$C$74,"Individual patients / service users")</f>
        <v>0</v>
      </c>
      <c r="M27" s="55" t="str">
        <f t="shared" si="2"/>
        <v/>
      </c>
      <c r="N27" s="3" t="str">
        <f t="shared" si="3"/>
        <v>Not provided</v>
      </c>
      <c r="O27" s="49">
        <f>SUMIF('16 Calculations'!$A$5:$A$34,A27,'16 Calculations'!$S$5:$S$34)</f>
        <v>0</v>
      </c>
      <c r="P27" s="49">
        <f>SUMIF('16 Calculations'!$A$5:$A$34,A27,'16 Calculations'!$T$5:$T$34)</f>
        <v>0</v>
      </c>
      <c r="Q27" s="49">
        <f>SUMIF('16 Calculations'!$A$5:$A$34,A27,'16 Calculations'!$U$5:$U$34)</f>
        <v>0</v>
      </c>
      <c r="R27" s="21" t="s">
        <v>579</v>
      </c>
      <c r="S27" s="21" t="str">
        <f>IFERROR(IF(INDEX('04 Service Costs'!$I$5:$I$31,MATCH(A27,'04 Service Costs'!$A$5:$A$31,0))="","",INDEX('04 Service Costs'!$I$5:$I$31,MATCH(A27,'04 Service Costs'!$A$5:$A$31,0))),"")</f>
        <v/>
      </c>
    </row>
    <row r="28" spans="1:19" ht="15">
      <c r="A28" s="3" t="s">
        <v>162</v>
      </c>
      <c r="B28" s="3" t="s">
        <v>163</v>
      </c>
      <c r="C28" s="55">
        <f>ROUND(SUMIF('16 Calculations'!$A$5:$A$34,A28,'16 Calculations'!$C$5:$C$34),0)</f>
        <v>0</v>
      </c>
      <c r="D28" s="55">
        <f>ROUND(SUMIF('16 Calculations'!$A$5:$A$34,A28,'16 Calculations'!$D$5:$D$34),0)</f>
        <v>0</v>
      </c>
      <c r="E28" s="55">
        <f>ROUND(SUMIF('16 Calculations'!$A$5:$A$34,A28,'16 Calculations'!$R$5:$R$34)-C28-D28,0)</f>
        <v>0</v>
      </c>
      <c r="F28" s="55">
        <f t="shared" si="4"/>
        <v>0</v>
      </c>
      <c r="G28" s="58">
        <f>SUMIFS('09 Core Activity &amp; Capacity'!$F$5:$F$74,'09 Core Activity &amp; Capacity'!$A$5:$A$74,A28,'09 Core Activity &amp; Capacity'!$D$5:$D$74,"Capacity")</f>
        <v>0</v>
      </c>
      <c r="H28" s="58">
        <f>SUMIFS('09 Core Activity &amp; Capacity'!$F$5:$F$74,'09 Core Activity &amp; Capacity'!$A$5:$A$74,A28,'09 Core Activity &amp; Capacity'!$D$5:$D$74,"Activity")</f>
        <v>0</v>
      </c>
      <c r="I28" s="59" t="str">
        <f t="shared" si="5"/>
        <v/>
      </c>
      <c r="J28" s="59" t="str">
        <f t="shared" si="1"/>
        <v/>
      </c>
      <c r="K28" s="62" t="str">
        <f t="shared" si="6"/>
        <v/>
      </c>
      <c r="L28" s="58">
        <f>SUMIFS('09 Core Activity &amp; Capacity'!$F$5:$F$74,'09 Core Activity &amp; Capacity'!$A$5:$A$74,A28,'09 Core Activity &amp; Capacity'!$C$5:$C$74,"Individual patients / service users")</f>
        <v>0</v>
      </c>
      <c r="M28" s="55" t="str">
        <f t="shared" si="2"/>
        <v/>
      </c>
      <c r="N28" s="3" t="str">
        <f t="shared" si="3"/>
        <v>Not provided</v>
      </c>
      <c r="O28" s="49">
        <f>SUMIF('16 Calculations'!$A$5:$A$34,A28,'16 Calculations'!$S$5:$S$34)</f>
        <v>0</v>
      </c>
      <c r="P28" s="49">
        <f>SUMIF('16 Calculations'!$A$5:$A$34,A28,'16 Calculations'!$T$5:$T$34)</f>
        <v>0</v>
      </c>
      <c r="Q28" s="49">
        <f>SUMIF('16 Calculations'!$A$5:$A$34,A28,'16 Calculations'!$U$5:$U$34)</f>
        <v>0</v>
      </c>
      <c r="R28" s="21" t="s">
        <v>579</v>
      </c>
      <c r="S28" s="21" t="str">
        <f>IFERROR(IF(INDEX('04 Service Costs'!$I$5:$I$31,MATCH(A28,'04 Service Costs'!$A$5:$A$31,0))="","",INDEX('04 Service Costs'!$I$5:$I$31,MATCH(A28,'04 Service Costs'!$A$5:$A$31,0))),"")</f>
        <v/>
      </c>
    </row>
    <row r="29" spans="1:19" ht="15">
      <c r="A29" s="3" t="s">
        <v>164</v>
      </c>
      <c r="B29" s="3" t="s">
        <v>167</v>
      </c>
      <c r="C29" s="55">
        <f>ROUND(SUMIF('16 Calculations'!$A$5:$A$34,A29,'16 Calculations'!$C$5:$C$34),0)</f>
        <v>0</v>
      </c>
      <c r="D29" s="55">
        <f>ROUND(SUMIF('16 Calculations'!$A$5:$A$34,A29,'16 Calculations'!$D$5:$D$34),0)</f>
        <v>0</v>
      </c>
      <c r="E29" s="55">
        <f>ROUND(SUMIF('16 Calculations'!$A$5:$A$34,A29,'16 Calculations'!$R$5:$R$34)-C29-D29,0)</f>
        <v>0</v>
      </c>
      <c r="F29" s="55">
        <f t="shared" si="4"/>
        <v>0</v>
      </c>
      <c r="G29" s="58">
        <f>SUMIFS('09 Core Activity &amp; Capacity'!$F$5:$F$74,'09 Core Activity &amp; Capacity'!$A$5:$A$74,A29,'09 Core Activity &amp; Capacity'!$D$5:$D$74,"Capacity")</f>
        <v>0</v>
      </c>
      <c r="H29" s="58">
        <f>SUMIFS('09 Core Activity &amp; Capacity'!$F$5:$F$74,'09 Core Activity &amp; Capacity'!$A$5:$A$74,A29,'09 Core Activity &amp; Capacity'!$D$5:$D$74,"Activity")</f>
        <v>0</v>
      </c>
      <c r="I29" s="59" t="str">
        <f t="shared" si="5"/>
        <v/>
      </c>
      <c r="J29" s="59" t="str">
        <f t="shared" si="1"/>
        <v/>
      </c>
      <c r="K29" s="62" t="str">
        <f t="shared" si="6"/>
        <v/>
      </c>
      <c r="L29" s="58"/>
      <c r="M29" s="55" t="str">
        <f t="shared" si="2"/>
        <v/>
      </c>
      <c r="N29" s="3" t="str">
        <f t="shared" si="3"/>
        <v>Not provided</v>
      </c>
      <c r="O29" s="49">
        <f>SUMIF('16 Calculations'!$A$5:$A$34,A29,'16 Calculations'!$S$5:$S$34)</f>
        <v>0</v>
      </c>
      <c r="P29" s="49">
        <f>SUMIF('16 Calculations'!$A$5:$A$34,A29,'16 Calculations'!$T$5:$T$34)</f>
        <v>0</v>
      </c>
      <c r="Q29" s="49">
        <f>SUMIF('16 Calculations'!$A$5:$A$34,A29,'16 Calculations'!$U$5:$U$34)</f>
        <v>0</v>
      </c>
      <c r="R29" s="21" t="s">
        <v>580</v>
      </c>
      <c r="S29" s="21" t="str">
        <f>IFERROR(IF(INDEX('04 Service Costs'!$I$5:$I$31,MATCH(A29,'04 Service Costs'!$A$5:$A$31,0))="","",INDEX('04 Service Costs'!$I$5:$I$31,MATCH(A29,'04 Service Costs'!$A$5:$A$31,0))),"")</f>
        <v/>
      </c>
    </row>
    <row r="30" spans="1:19" ht="15">
      <c r="A30" s="3" t="s">
        <v>168</v>
      </c>
      <c r="B30" s="3" t="s">
        <v>169</v>
      </c>
      <c r="C30" s="55">
        <f>ROUND(SUMIF('16 Calculations'!$A$5:$A$34,A30,'16 Calculations'!$C$5:$C$34),0)</f>
        <v>0</v>
      </c>
      <c r="D30" s="55">
        <f>ROUND(SUMIF('16 Calculations'!$A$5:$A$34,A30,'16 Calculations'!$D$5:$D$34),0)</f>
        <v>0</v>
      </c>
      <c r="E30" s="55">
        <f>ROUND(SUMIF('16 Calculations'!$A$5:$A$34,A30,'16 Calculations'!$R$5:$R$34)-C30-D30,0)</f>
        <v>0</v>
      </c>
      <c r="F30" s="55">
        <f t="shared" si="4"/>
        <v>0</v>
      </c>
      <c r="G30" s="58">
        <f>SUMIFS('09 Core Activity &amp; Capacity'!$F$5:$F$74,'09 Core Activity &amp; Capacity'!$A$5:$A$74,A30,'09 Core Activity &amp; Capacity'!$D$5:$D$74,"Capacity")</f>
        <v>0</v>
      </c>
      <c r="H30" s="58">
        <f>SUMIFS('09 Core Activity &amp; Capacity'!$F$5:$F$74,'09 Core Activity &amp; Capacity'!$A$5:$A$74,A30,'09 Core Activity &amp; Capacity'!$D$5:$D$74,"Activity")</f>
        <v>0</v>
      </c>
      <c r="I30" s="59" t="str">
        <f t="shared" si="5"/>
        <v/>
      </c>
      <c r="J30" s="59" t="str">
        <f t="shared" si="1"/>
        <v/>
      </c>
      <c r="K30" s="62" t="str">
        <f t="shared" si="6"/>
        <v/>
      </c>
      <c r="L30" s="58"/>
      <c r="M30" s="55" t="str">
        <f t="shared" si="2"/>
        <v/>
      </c>
      <c r="N30" s="3" t="str">
        <f t="shared" si="3"/>
        <v>Not provided</v>
      </c>
      <c r="O30" s="49">
        <f>SUMIF('16 Calculations'!$A$5:$A$34,A30,'16 Calculations'!$S$5:$S$34)</f>
        <v>0</v>
      </c>
      <c r="P30" s="49">
        <f>SUMIF('16 Calculations'!$A$5:$A$34,A30,'16 Calculations'!$T$5:$T$34)</f>
        <v>0</v>
      </c>
      <c r="Q30" s="49">
        <f>SUMIF('16 Calculations'!$A$5:$A$34,A30,'16 Calculations'!$U$5:$U$34)</f>
        <v>0</v>
      </c>
      <c r="R30" s="21" t="s">
        <v>580</v>
      </c>
      <c r="S30" s="21" t="str">
        <f>IFERROR(IF(INDEX('04 Service Costs'!$I$5:$I$31,MATCH(A30,'04 Service Costs'!$A$5:$A$31,0))="","",INDEX('04 Service Costs'!$I$5:$I$31,MATCH(A30,'04 Service Costs'!$A$5:$A$31,0))),"")</f>
        <v/>
      </c>
    </row>
    <row r="31" spans="1:19" ht="15">
      <c r="A31" s="3" t="s">
        <v>170</v>
      </c>
      <c r="B31" s="3" t="s">
        <v>166</v>
      </c>
      <c r="C31" s="55">
        <f>ROUND(SUMIF('16 Calculations'!$A$5:$A$34,A31,'16 Calculations'!$C$5:$C$34),0)</f>
        <v>0</v>
      </c>
      <c r="D31" s="55">
        <f>ROUND(SUMIF('16 Calculations'!$A$5:$A$34,A31,'16 Calculations'!$D$5:$D$34),0)</f>
        <v>0</v>
      </c>
      <c r="E31" s="55">
        <f>ROUND(SUMIF('16 Calculations'!$A$5:$A$34,A31,'16 Calculations'!$R$5:$R$34)-C31-D31,0)</f>
        <v>0</v>
      </c>
      <c r="F31" s="55">
        <f t="shared" si="4"/>
        <v>0</v>
      </c>
      <c r="G31" s="58">
        <f>SUMIFS('09 Core Activity &amp; Capacity'!$F$5:$F$74,'09 Core Activity &amp; Capacity'!$A$5:$A$74,A31,'09 Core Activity &amp; Capacity'!$D$5:$D$74,"Capacity")</f>
        <v>0</v>
      </c>
      <c r="H31" s="58">
        <f>SUMIFS('09 Core Activity &amp; Capacity'!$F$5:$F$74,'09 Core Activity &amp; Capacity'!$A$5:$A$74,A31,'09 Core Activity &amp; Capacity'!$D$5:$D$74,"Activity")</f>
        <v>0</v>
      </c>
      <c r="I31" s="59" t="str">
        <f t="shared" si="5"/>
        <v/>
      </c>
      <c r="J31" s="59" t="str">
        <f t="shared" si="1"/>
        <v/>
      </c>
      <c r="K31" s="62" t="str">
        <f t="shared" si="6"/>
        <v/>
      </c>
      <c r="L31" s="58"/>
      <c r="M31" s="55" t="str">
        <f t="shared" si="2"/>
        <v/>
      </c>
      <c r="N31" s="3" t="str">
        <f t="shared" si="3"/>
        <v>Not provided</v>
      </c>
      <c r="O31" s="49">
        <f>SUMIF('16 Calculations'!$A$5:$A$34,A31,'16 Calculations'!$S$5:$S$34)</f>
        <v>0</v>
      </c>
      <c r="P31" s="49">
        <f>SUMIF('16 Calculations'!$A$5:$A$34,A31,'16 Calculations'!$T$5:$T$34)</f>
        <v>0</v>
      </c>
      <c r="Q31" s="49">
        <f>SUMIF('16 Calculations'!$A$5:$A$34,A31,'16 Calculations'!$U$5:$U$34)</f>
        <v>0</v>
      </c>
      <c r="R31" s="21" t="s">
        <v>580</v>
      </c>
      <c r="S31" s="21" t="str">
        <f>IFERROR(IF(INDEX('04 Service Costs'!$I$5:$I$31,MATCH(A31,'04 Service Costs'!$A$5:$A$31,0))="","",INDEX('04 Service Costs'!$I$5:$I$31,MATCH(A31,'04 Service Costs'!$A$5:$A$31,0))),"")</f>
        <v/>
      </c>
    </row>
    <row r="32" spans="1:19" ht="15">
      <c r="A32" s="3" t="s">
        <v>294</v>
      </c>
      <c r="B32" s="3" t="s">
        <v>295</v>
      </c>
      <c r="C32" s="55">
        <f>ROUND(SUMIF('16 Calculations'!$A$5:$A$34,A32,'16 Calculations'!$C$5:$C$34),0)</f>
        <v>0</v>
      </c>
      <c r="D32" s="55">
        <f>ROUND(SUMIF('16 Calculations'!$A$5:$A$34,A32,'16 Calculations'!$D$5:$D$34),0)</f>
        <v>0</v>
      </c>
      <c r="E32" s="55">
        <f>ROUND(SUMIF('16 Calculations'!$A$5:$A$34,A32,'16 Calculations'!$R$5:$R$34)-C32-D32,0)</f>
        <v>0</v>
      </c>
      <c r="F32" s="55">
        <f t="shared" si="4"/>
        <v>0</v>
      </c>
      <c r="G32" s="58">
        <f>SUMIFS('09 Core Activity &amp; Capacity'!$F$5:$F$74,'09 Core Activity &amp; Capacity'!$A$5:$A$74,A32,'09 Core Activity &amp; Capacity'!$D$5:$D$74,"Capacity")</f>
        <v>0</v>
      </c>
      <c r="H32" s="58">
        <f>SUMIFS('09 Core Activity &amp; Capacity'!$F$5:$F$74,'09 Core Activity &amp; Capacity'!$A$5:$A$74,A32,'09 Core Activity &amp; Capacity'!$D$5:$D$74,"Activity")</f>
        <v>0</v>
      </c>
      <c r="I32" s="59" t="str">
        <f t="shared" si="5"/>
        <v/>
      </c>
      <c r="J32" s="59" t="str">
        <f t="shared" si="1"/>
        <v/>
      </c>
      <c r="K32" s="62" t="str">
        <f t="shared" si="6"/>
        <v/>
      </c>
      <c r="L32" s="58"/>
      <c r="M32" s="55" t="str">
        <f t="shared" si="2"/>
        <v/>
      </c>
      <c r="N32" s="3" t="str">
        <f t="shared" si="3"/>
        <v>Not provided</v>
      </c>
      <c r="O32" s="49">
        <f>SUMIF('16 Calculations'!$A$5:$A$34,A32,'16 Calculations'!$S$5:$S$34)</f>
        <v>0</v>
      </c>
      <c r="P32" s="49">
        <f>SUMIF('16 Calculations'!$A$5:$A$34,A32,'16 Calculations'!$T$5:$T$34)</f>
        <v>0</v>
      </c>
      <c r="Q32" s="49">
        <f>SUMIF('16 Calculations'!$A$5:$A$34,A32,'16 Calculations'!$U$5:$U$34)</f>
        <v>0</v>
      </c>
      <c r="R32" s="21" t="s">
        <v>580</v>
      </c>
      <c r="S32" s="21" t="str">
        <f>IFERROR(IF(INDEX('04 Service Costs'!$I$5:$I$31,MATCH(A32,'04 Service Costs'!$A$5:$A$31,0))="","",INDEX('04 Service Costs'!$I$5:$I$31,MATCH(A32,'04 Service Costs'!$A$5:$A$31,0))),"")</f>
        <v/>
      </c>
    </row>
    <row r="33" spans="1:19" ht="15">
      <c r="A33" s="3" t="s">
        <v>303</v>
      </c>
      <c r="B33" s="3" t="s">
        <v>304</v>
      </c>
      <c r="C33" s="55">
        <f>ROUND(SUMIF('16 Calculations'!$A$5:$A$34,A33,'16 Calculations'!$C$5:$C$34),0)</f>
        <v>0</v>
      </c>
      <c r="D33" s="55">
        <f>ROUND(SUMIF('16 Calculations'!$A$5:$A$34,A33,'16 Calculations'!$D$5:$D$34),0)</f>
        <v>0</v>
      </c>
      <c r="E33" s="55">
        <f>ROUND(SUMIF('16 Calculations'!$A$5:$A$34,A33,'16 Calculations'!$R$5:$R$34)-C33-D33,0)</f>
        <v>0</v>
      </c>
      <c r="F33" s="55">
        <f t="shared" si="4"/>
        <v>0</v>
      </c>
      <c r="G33" s="58">
        <f>SUMIFS('09 Core Activity &amp; Capacity'!$F$5:$F$74,'09 Core Activity &amp; Capacity'!$A$5:$A$74,A33,'09 Core Activity &amp; Capacity'!$D$5:$D$74,"Capacity")</f>
        <v>0</v>
      </c>
      <c r="H33" s="58">
        <f>SUMIFS('09 Core Activity &amp; Capacity'!$F$5:$F$74,'09 Core Activity &amp; Capacity'!$A$5:$A$74,A33,'09 Core Activity &amp; Capacity'!$D$5:$D$74,"Activity")</f>
        <v>0</v>
      </c>
      <c r="I33" s="59" t="str">
        <f t="shared" si="5"/>
        <v/>
      </c>
      <c r="J33" s="59" t="str">
        <f t="shared" si="1"/>
        <v/>
      </c>
      <c r="K33" s="62" t="str">
        <f t="shared" si="6"/>
        <v/>
      </c>
      <c r="L33" s="58"/>
      <c r="M33" s="55" t="str">
        <f t="shared" si="2"/>
        <v/>
      </c>
      <c r="N33" s="3" t="str">
        <f t="shared" si="3"/>
        <v>Not provided</v>
      </c>
      <c r="O33" s="49">
        <f>SUMIF('16 Calculations'!$A$5:$A$34,A33,'16 Calculations'!$S$5:$S$34)</f>
        <v>0</v>
      </c>
      <c r="P33" s="49">
        <f>SUMIF('16 Calculations'!$A$5:$A$34,A33,'16 Calculations'!$T$5:$T$34)</f>
        <v>0</v>
      </c>
      <c r="Q33" s="49">
        <f>SUMIF('16 Calculations'!$A$5:$A$34,A33,'16 Calculations'!$U$5:$U$34)</f>
        <v>0</v>
      </c>
      <c r="R33" s="21" t="s">
        <v>580</v>
      </c>
      <c r="S33" s="21" t="str">
        <f>IFERROR(IF(INDEX('04 Service Costs'!$I$5:$I$31,MATCH(A33,'04 Service Costs'!$A$5:$A$31,0))="","",INDEX('04 Service Costs'!$I$5:$I$31,MATCH(A33,'04 Service Costs'!$A$5:$A$31,0))),"")</f>
        <v/>
      </c>
    </row>
    <row r="34" spans="1:19" ht="15">
      <c r="A34" s="3" t="s">
        <v>309</v>
      </c>
      <c r="B34" s="3" t="s">
        <v>310</v>
      </c>
      <c r="C34" s="55">
        <f>ROUND(SUMIF('16 Calculations'!$A$5:$A$34,A34,'16 Calculations'!$C$5:$C$34),0)</f>
        <v>0</v>
      </c>
      <c r="D34" s="55">
        <f>ROUND(SUMIF('16 Calculations'!$A$5:$A$34,A34,'16 Calculations'!$D$5:$D$34),0)</f>
        <v>0</v>
      </c>
      <c r="E34" s="55">
        <f>ROUND(SUMIF('16 Calculations'!$A$5:$A$34,A34,'16 Calculations'!$R$5:$R$34)-C34-D34,0)</f>
        <v>0</v>
      </c>
      <c r="F34" s="55">
        <f t="shared" si="4"/>
        <v>0</v>
      </c>
      <c r="G34" s="58">
        <f>SUMIFS('09 Core Activity &amp; Capacity'!$F$5:$F$74,'09 Core Activity &amp; Capacity'!$A$5:$A$74,A34,'09 Core Activity &amp; Capacity'!$D$5:$D$74,"Capacity")</f>
        <v>0</v>
      </c>
      <c r="H34" s="58">
        <f>SUMIFS('09 Core Activity &amp; Capacity'!$F$5:$F$74,'09 Core Activity &amp; Capacity'!$A$5:$A$74,A34,'09 Core Activity &amp; Capacity'!$D$5:$D$74,"Activity")</f>
        <v>0</v>
      </c>
      <c r="I34" s="59" t="str">
        <f t="shared" si="5"/>
        <v/>
      </c>
      <c r="J34" s="59" t="str">
        <f t="shared" si="1"/>
        <v/>
      </c>
      <c r="K34" s="62" t="str">
        <f t="shared" si="6"/>
        <v/>
      </c>
      <c r="L34" s="58"/>
      <c r="M34" s="55" t="str">
        <f t="shared" si="2"/>
        <v/>
      </c>
      <c r="N34" s="3" t="str">
        <f t="shared" si="3"/>
        <v>Not provided</v>
      </c>
      <c r="O34" s="49">
        <f>SUMIF('16 Calculations'!$A$5:$A$34,A34,'16 Calculations'!$S$5:$S$34)</f>
        <v>0</v>
      </c>
      <c r="P34" s="49">
        <f>SUMIF('16 Calculations'!$A$5:$A$34,A34,'16 Calculations'!$T$5:$T$34)</f>
        <v>0</v>
      </c>
      <c r="Q34" s="49">
        <f>SUMIF('16 Calculations'!$A$5:$A$34,A34,'16 Calculations'!$U$5:$U$34)</f>
        <v>0</v>
      </c>
      <c r="R34" s="21" t="s">
        <v>580</v>
      </c>
      <c r="S34" s="21" t="str">
        <f>IFERROR(IF(INDEX('04 Service Costs'!$I$5:$I$31,MATCH(A34,'04 Service Costs'!$A$5:$A$31,0))="","",INDEX('04 Service Costs'!$I$5:$I$31,MATCH(A34,'04 Service Costs'!$A$5:$A$31,0))),"")</f>
        <v/>
      </c>
    </row>
    <row r="35" spans="1:19" ht="42" customHeight="1">
      <c r="A35" s="22" t="s">
        <v>122</v>
      </c>
      <c r="B35" s="22" t="s">
        <v>124</v>
      </c>
      <c r="C35" s="56">
        <f>ROUND(SUMIF('16 Calculations'!$A$5:$A$34,A35,'16 Calculations'!$C$5:$C$34),0)</f>
        <v>0</v>
      </c>
      <c r="D35" s="56">
        <f>ROUND(SUMIF('16 Calculations'!$A$5:$A$34,A35,'16 Calculations'!$D$5:$D$34),0)</f>
        <v>0</v>
      </c>
      <c r="E35" s="56">
        <f>ROUND(SUMIF('16 Calculations'!$A$5:$A$34,A35,'16 Calculations'!$R$5:$R$34)-C35-D35,0)</f>
        <v>0</v>
      </c>
      <c r="F35" s="56">
        <f t="shared" si="4"/>
        <v>0</v>
      </c>
      <c r="G35" s="28">
        <f>SUMIFS('09 Core Activity &amp; Capacity'!$F$5:$F$74,'09 Core Activity &amp; Capacity'!$A$5:$A$74,A35,'09 Core Activity &amp; Capacity'!$D$5:$D$74,"Capacity")</f>
        <v>0</v>
      </c>
      <c r="H35" s="28">
        <f>SUMIFS('09 Core Activity &amp; Capacity'!$F$5:$F$74,'09 Core Activity &amp; Capacity'!$A$5:$A$74,A35,'09 Core Activity &amp; Capacity'!$D$5:$D$74,"Activity")</f>
        <v>0</v>
      </c>
      <c r="I35" s="60" t="str">
        <f t="shared" si="5"/>
        <v/>
      </c>
      <c r="J35" s="60" t="str">
        <f t="shared" si="1"/>
        <v/>
      </c>
      <c r="K35" s="30" t="str">
        <f t="shared" si="6"/>
        <v/>
      </c>
      <c r="L35" s="28">
        <f>SUMIFS('09 Core Activity &amp; Capacity'!$F$5:$F$74,'09 Core Activity &amp; Capacity'!$A$5:$A$74,A35,'09 Core Activity &amp; Capacity'!$C$5:$C$74,"Individual patients / service users")</f>
        <v>0</v>
      </c>
      <c r="M35" s="56" t="str">
        <f t="shared" si="2"/>
        <v/>
      </c>
      <c r="N35" s="22" t="str">
        <f t="shared" si="3"/>
        <v>Not provided</v>
      </c>
      <c r="O35" s="49">
        <f>SUMIF('16 Calculations'!$A$5:$A$34,A35,'16 Calculations'!$S$5:$S$34)</f>
        <v>0</v>
      </c>
      <c r="P35" s="49">
        <f>SUMIF('16 Calculations'!$A$5:$A$34,A35,'16 Calculations'!$T$5:$T$34)</f>
        <v>0</v>
      </c>
      <c r="Q35" s="49">
        <f>SUMIF('16 Calculations'!$A$5:$A$34,A35,'16 Calculations'!$U$5:$U$34)</f>
        <v>0</v>
      </c>
      <c r="R35" s="21" t="s">
        <v>579</v>
      </c>
      <c r="S35" s="21" t="str">
        <f>IFERROR(IF(INDEX('04 Service Costs'!$I$5:$I$31,MATCH(A35,'04 Service Costs'!$A$5:$A$31,0))="","",INDEX('04 Service Costs'!$I$5:$I$31,MATCH(A35,'04 Service Costs'!$A$5:$A$31,0))),"")</f>
        <v/>
      </c>
    </row>
    <row r="37" spans="1:19" ht="48" customHeight="1">
      <c r="A37" s="113" t="s">
        <v>581</v>
      </c>
      <c r="B37" s="113"/>
      <c r="C37" s="113"/>
      <c r="D37" s="113"/>
      <c r="E37" s="113"/>
      <c r="F37" s="113"/>
      <c r="G37" s="113"/>
      <c r="H37" s="113"/>
      <c r="I37" s="113"/>
      <c r="J37" s="113"/>
      <c r="K37" s="113"/>
      <c r="L37" s="113"/>
      <c r="M37" s="113"/>
      <c r="N37" s="113"/>
      <c r="O37" s="113"/>
      <c r="P37" s="113"/>
      <c r="Q37" s="113"/>
      <c r="R37" s="113"/>
      <c r="S37" s="113"/>
    </row>
  </sheetData>
  <sheetProtection sheet="1" objects="1" scenarios="1" formatColumns="0" formatRows="0"/>
  <mergeCells count="3">
    <mergeCell ref="A1:N1"/>
    <mergeCell ref="A2:N2"/>
    <mergeCell ref="A37:S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9"/>
  <sheetViews>
    <sheetView showGridLines="0" workbookViewId="0"/>
  </sheetViews>
  <sheetFormatPr baseColWidth="10" defaultColWidth="8.83203125" defaultRowHeight="14"/>
  <cols>
    <col min="1" max="1" width="17" customWidth="1"/>
    <col min="2" max="3" width="38" customWidth="1"/>
    <col min="4" max="5" width="22" customWidth="1"/>
    <col min="6" max="7" width="23" customWidth="1"/>
    <col min="8" max="9" width="25" customWidth="1"/>
    <col min="10" max="10" width="28" customWidth="1"/>
    <col min="11" max="12" width="24" customWidth="1"/>
    <col min="13" max="13" width="54" customWidth="1"/>
    <col min="14" max="14" width="38" customWidth="1"/>
  </cols>
  <sheetData>
    <row r="1" spans="1:14" ht="34" customHeight="1">
      <c r="A1" s="111" t="s">
        <v>45</v>
      </c>
      <c r="B1" s="111"/>
      <c r="C1" s="111"/>
      <c r="D1" s="111"/>
      <c r="E1" s="111"/>
      <c r="F1" s="111"/>
      <c r="G1" s="111"/>
      <c r="H1" s="111"/>
      <c r="I1" s="111"/>
      <c r="J1" s="111"/>
      <c r="K1" s="111"/>
      <c r="L1" s="111"/>
      <c r="M1" s="111"/>
      <c r="N1" s="111"/>
    </row>
    <row r="2" spans="1:14" ht="28" customHeight="1">
      <c r="A2" s="112" t="s">
        <v>582</v>
      </c>
      <c r="B2" s="112"/>
      <c r="C2" s="112"/>
      <c r="D2" s="112"/>
      <c r="E2" s="112"/>
      <c r="F2" s="112"/>
      <c r="G2" s="112"/>
      <c r="H2" s="112"/>
      <c r="I2" s="112"/>
      <c r="J2" s="112"/>
      <c r="K2" s="112"/>
      <c r="L2" s="112"/>
      <c r="M2" s="112"/>
      <c r="N2" s="112"/>
    </row>
    <row r="4" spans="1:14" ht="24" customHeight="1">
      <c r="A4" s="118" t="s">
        <v>583</v>
      </c>
      <c r="B4" s="118"/>
      <c r="C4" s="118"/>
      <c r="D4" s="118"/>
      <c r="E4" s="118"/>
      <c r="F4" s="118"/>
      <c r="G4" s="118"/>
      <c r="H4" s="118"/>
      <c r="I4" s="118"/>
      <c r="J4" s="118"/>
    </row>
    <row r="5" spans="1:14" ht="30" customHeight="1">
      <c r="A5" s="2" t="s">
        <v>437</v>
      </c>
      <c r="B5" s="2" t="s">
        <v>368</v>
      </c>
      <c r="C5" s="2" t="s">
        <v>411</v>
      </c>
      <c r="D5" s="2" t="s">
        <v>584</v>
      </c>
      <c r="E5" s="2" t="s">
        <v>585</v>
      </c>
      <c r="F5" s="2" t="s">
        <v>586</v>
      </c>
      <c r="G5" s="2" t="s">
        <v>587</v>
      </c>
      <c r="H5" s="2" t="s">
        <v>588</v>
      </c>
      <c r="I5" s="2" t="s">
        <v>589</v>
      </c>
      <c r="J5" s="2" t="s">
        <v>71</v>
      </c>
    </row>
    <row r="6" spans="1:14">
      <c r="A6" s="9" t="s">
        <v>213</v>
      </c>
      <c r="B6" s="9" t="str">
        <f>IF('10 Optional IPU Care Type'!B12="","",'10 Optional IPU Care Type'!B12)</f>
        <v/>
      </c>
      <c r="C6" s="12">
        <f>IF('10 Optional IPU Care Type'!C12="","",'10 Optional IPU Care Type'!C12)</f>
        <v>0</v>
      </c>
      <c r="D6" s="12" t="str">
        <f>IF('10 Optional IPU Care Type'!D12="","",'10 Optional IPU Care Type'!D12)</f>
        <v/>
      </c>
      <c r="E6" s="12" t="str">
        <f>IF('10 Optional IPU Care Type'!E12="","",'10 Optional IPU Care Type'!E12)</f>
        <v/>
      </c>
      <c r="F6" s="12" t="str">
        <f>IF('10 Optional IPU Care Type'!F12="","",'10 Optional IPU Care Type'!F12)</f>
        <v/>
      </c>
      <c r="G6" s="10" t="str">
        <f>IFERROR(D6/C6,"")</f>
        <v/>
      </c>
      <c r="H6" s="10" t="str">
        <f>IFERROR(E6/C6,"")</f>
        <v/>
      </c>
      <c r="I6" s="10" t="str">
        <f>IFERROR(F6/C6,"")</f>
        <v/>
      </c>
      <c r="J6" s="9" t="str">
        <f>'10 Optional IPU Care Type'!I12</f>
        <v>NOT USED</v>
      </c>
    </row>
    <row r="7" spans="1:14">
      <c r="A7" s="9" t="s">
        <v>214</v>
      </c>
      <c r="B7" s="9" t="str">
        <f>IF('10 Optional IPU Care Type'!B13="","",'10 Optional IPU Care Type'!B13)</f>
        <v/>
      </c>
      <c r="C7" s="12">
        <f>IF('10 Optional IPU Care Type'!C13="","",'10 Optional IPU Care Type'!C13)</f>
        <v>0</v>
      </c>
      <c r="D7" s="12" t="str">
        <f>IF('10 Optional IPU Care Type'!D13="","",'10 Optional IPU Care Type'!D13)</f>
        <v/>
      </c>
      <c r="E7" s="12" t="str">
        <f>IF('10 Optional IPU Care Type'!E13="","",'10 Optional IPU Care Type'!E13)</f>
        <v/>
      </c>
      <c r="F7" s="12" t="str">
        <f>IF('10 Optional IPU Care Type'!F13="","",'10 Optional IPU Care Type'!F13)</f>
        <v/>
      </c>
      <c r="G7" s="10" t="str">
        <f>IFERROR(D7/C7,"")</f>
        <v/>
      </c>
      <c r="H7" s="10" t="str">
        <f>IFERROR(E7/C7,"")</f>
        <v/>
      </c>
      <c r="I7" s="10" t="str">
        <f>IFERROR(F7/C7,"")</f>
        <v/>
      </c>
      <c r="J7" s="9" t="str">
        <f>'10 Optional IPU Care Type'!I13</f>
        <v>NOT USED</v>
      </c>
    </row>
    <row r="8" spans="1:14">
      <c r="A8" s="9" t="s">
        <v>215</v>
      </c>
      <c r="B8" s="9" t="str">
        <f>IF('10 Optional IPU Care Type'!B14="","",'10 Optional IPU Care Type'!B14)</f>
        <v/>
      </c>
      <c r="C8" s="12">
        <f>IF('10 Optional IPU Care Type'!C14="","",'10 Optional IPU Care Type'!C14)</f>
        <v>0</v>
      </c>
      <c r="D8" s="12" t="str">
        <f>IF('10 Optional IPU Care Type'!D14="","",'10 Optional IPU Care Type'!D14)</f>
        <v/>
      </c>
      <c r="E8" s="12" t="str">
        <f>IF('10 Optional IPU Care Type'!E14="","",'10 Optional IPU Care Type'!E14)</f>
        <v/>
      </c>
      <c r="F8" s="12" t="str">
        <f>IF('10 Optional IPU Care Type'!F14="","",'10 Optional IPU Care Type'!F14)</f>
        <v/>
      </c>
      <c r="G8" s="10" t="str">
        <f>IFERROR(D8/C8,"")</f>
        <v/>
      </c>
      <c r="H8" s="10" t="str">
        <f>IFERROR(E8/C8,"")</f>
        <v/>
      </c>
      <c r="I8" s="10" t="str">
        <f>IFERROR(F8/C8,"")</f>
        <v/>
      </c>
      <c r="J8" s="9" t="str">
        <f>'10 Optional IPU Care Type'!I14</f>
        <v>NOT USED</v>
      </c>
    </row>
    <row r="10" spans="1:14" ht="24" customHeight="1">
      <c r="A10" s="118" t="s">
        <v>590</v>
      </c>
      <c r="B10" s="118"/>
      <c r="C10" s="118"/>
      <c r="D10" s="118"/>
      <c r="E10" s="118"/>
      <c r="F10" s="118"/>
      <c r="G10" s="118"/>
      <c r="H10" s="118"/>
      <c r="I10" s="118"/>
      <c r="J10" s="118"/>
      <c r="K10" s="118"/>
      <c r="L10" s="118"/>
      <c r="M10" s="118"/>
      <c r="N10" s="118"/>
    </row>
    <row r="11" spans="1:14" ht="30" customHeight="1">
      <c r="A11" s="2" t="s">
        <v>437</v>
      </c>
      <c r="B11" s="2" t="s">
        <v>368</v>
      </c>
      <c r="C11" s="2" t="s">
        <v>446</v>
      </c>
      <c r="D11" s="2" t="s">
        <v>448</v>
      </c>
      <c r="E11" s="2" t="s">
        <v>449</v>
      </c>
      <c r="F11" s="2" t="s">
        <v>411</v>
      </c>
      <c r="G11" s="2" t="s">
        <v>591</v>
      </c>
      <c r="H11" s="2" t="s">
        <v>592</v>
      </c>
      <c r="I11" s="2" t="s">
        <v>593</v>
      </c>
      <c r="J11" s="2" t="s">
        <v>594</v>
      </c>
      <c r="K11" s="2" t="s">
        <v>595</v>
      </c>
      <c r="L11" s="2" t="s">
        <v>596</v>
      </c>
      <c r="M11" s="2" t="s">
        <v>597</v>
      </c>
      <c r="N11" s="2" t="s">
        <v>469</v>
      </c>
    </row>
    <row r="12" spans="1:14">
      <c r="A12" s="9" t="s">
        <v>213</v>
      </c>
      <c r="B12" s="9" t="str">
        <f>IF('10 Optional IPU Care Type'!B20="","",'10 Optional IPU Care Type'!B20)</f>
        <v/>
      </c>
      <c r="C12" s="9" t="str">
        <f>IF('10 Optional IPU Care Type'!C20="","",'10 Optional IPU Care Type'!C20)</f>
        <v/>
      </c>
      <c r="D12" s="14" t="str">
        <f>IF('10 Optional IPU Care Type'!E20="","",'10 Optional IPU Care Type'!E20)</f>
        <v/>
      </c>
      <c r="E12" s="14" t="str">
        <f>IF('10 Optional IPU Care Type'!F20="","",'10 Optional IPU Care Type'!F20)</f>
        <v/>
      </c>
      <c r="F12" s="12" t="str">
        <f>IF('10 Optional IPU Care Type'!G28="","",'10 Optional IPU Care Type'!G28)</f>
        <v/>
      </c>
      <c r="G12" s="12" t="str">
        <f>IF('10 Optional IPU Care Type'!C36="","",'10 Optional IPU Care Type'!C36)</f>
        <v/>
      </c>
      <c r="H12" s="12" t="str">
        <f>'10 Optional IPU Care Type'!J36</f>
        <v/>
      </c>
      <c r="I12" s="12" t="str">
        <f>'10 Optional IPU Care Type'!K36</f>
        <v/>
      </c>
      <c r="J12" s="12" t="str">
        <f>'10 Optional IPU Care Type'!L36</f>
        <v/>
      </c>
      <c r="K12" s="9" t="str">
        <f>'10 Optional IPU Care Type'!G20</f>
        <v>NOT USED</v>
      </c>
      <c r="L12" s="9" t="str">
        <f>'10 Optional IPU Care Type'!M28</f>
        <v>NOT USED</v>
      </c>
      <c r="M12" s="9" t="str">
        <f>'10 Optional IPU Care Type'!I36</f>
        <v>NOT USED</v>
      </c>
      <c r="N12" s="9" t="str">
        <f>IF('10 Optional IPU Care Type'!N36="","",'10 Optional IPU Care Type'!N36)</f>
        <v/>
      </c>
    </row>
    <row r="13" spans="1:14">
      <c r="A13" s="9" t="s">
        <v>214</v>
      </c>
      <c r="B13" s="9" t="str">
        <f>IF('10 Optional IPU Care Type'!B21="","",'10 Optional IPU Care Type'!B21)</f>
        <v/>
      </c>
      <c r="C13" s="9" t="str">
        <f>IF('10 Optional IPU Care Type'!C21="","",'10 Optional IPU Care Type'!C21)</f>
        <v/>
      </c>
      <c r="D13" s="14" t="str">
        <f>IF('10 Optional IPU Care Type'!E21="","",'10 Optional IPU Care Type'!E21)</f>
        <v/>
      </c>
      <c r="E13" s="14" t="str">
        <f>IF('10 Optional IPU Care Type'!F21="","",'10 Optional IPU Care Type'!F21)</f>
        <v/>
      </c>
      <c r="F13" s="12" t="str">
        <f>IF('10 Optional IPU Care Type'!G29="","",'10 Optional IPU Care Type'!G29)</f>
        <v/>
      </c>
      <c r="G13" s="12" t="str">
        <f>IF('10 Optional IPU Care Type'!C37="","",'10 Optional IPU Care Type'!C37)</f>
        <v/>
      </c>
      <c r="H13" s="12" t="str">
        <f>'10 Optional IPU Care Type'!J37</f>
        <v/>
      </c>
      <c r="I13" s="12" t="str">
        <f>'10 Optional IPU Care Type'!K37</f>
        <v/>
      </c>
      <c r="J13" s="12" t="str">
        <f>'10 Optional IPU Care Type'!L37</f>
        <v/>
      </c>
      <c r="K13" s="9" t="str">
        <f>'10 Optional IPU Care Type'!G21</f>
        <v>NOT USED</v>
      </c>
      <c r="L13" s="9" t="str">
        <f>'10 Optional IPU Care Type'!M29</f>
        <v>NOT USED</v>
      </c>
      <c r="M13" s="9" t="str">
        <f>'10 Optional IPU Care Type'!I37</f>
        <v>NOT USED</v>
      </c>
      <c r="N13" s="9" t="str">
        <f>IF('10 Optional IPU Care Type'!N37="","",'10 Optional IPU Care Type'!N37)</f>
        <v/>
      </c>
    </row>
    <row r="14" spans="1:14">
      <c r="A14" s="9" t="s">
        <v>215</v>
      </c>
      <c r="B14" s="9" t="str">
        <f>IF('10 Optional IPU Care Type'!B22="","",'10 Optional IPU Care Type'!B22)</f>
        <v/>
      </c>
      <c r="C14" s="9" t="str">
        <f>IF('10 Optional IPU Care Type'!C22="","",'10 Optional IPU Care Type'!C22)</f>
        <v/>
      </c>
      <c r="D14" s="14" t="str">
        <f>IF('10 Optional IPU Care Type'!E22="","",'10 Optional IPU Care Type'!E22)</f>
        <v/>
      </c>
      <c r="E14" s="14" t="str">
        <f>IF('10 Optional IPU Care Type'!F22="","",'10 Optional IPU Care Type'!F22)</f>
        <v/>
      </c>
      <c r="F14" s="12" t="str">
        <f>IF('10 Optional IPU Care Type'!G30="","",'10 Optional IPU Care Type'!G30)</f>
        <v/>
      </c>
      <c r="G14" s="12" t="str">
        <f>IF('10 Optional IPU Care Type'!C38="","",'10 Optional IPU Care Type'!C38)</f>
        <v/>
      </c>
      <c r="H14" s="12" t="str">
        <f>'10 Optional IPU Care Type'!J38</f>
        <v/>
      </c>
      <c r="I14" s="12" t="str">
        <f>'10 Optional IPU Care Type'!K38</f>
        <v/>
      </c>
      <c r="J14" s="12" t="str">
        <f>'10 Optional IPU Care Type'!L38</f>
        <v/>
      </c>
      <c r="K14" s="9" t="str">
        <f>'10 Optional IPU Care Type'!G22</f>
        <v>NOT USED</v>
      </c>
      <c r="L14" s="9" t="str">
        <f>'10 Optional IPU Care Type'!M30</f>
        <v>NOT USED</v>
      </c>
      <c r="M14" s="9" t="str">
        <f>'10 Optional IPU Care Type'!I38</f>
        <v>NOT USED</v>
      </c>
      <c r="N14" s="9" t="str">
        <f>IF('10 Optional IPU Care Type'!N38="","",'10 Optional IPU Care Type'!N38)</f>
        <v/>
      </c>
    </row>
    <row r="16" spans="1:14" ht="24" customHeight="1">
      <c r="A16" s="118" t="s">
        <v>598</v>
      </c>
      <c r="B16" s="118"/>
      <c r="C16" s="118"/>
      <c r="D16" s="118"/>
      <c r="E16" s="118"/>
      <c r="F16" s="118"/>
      <c r="G16" s="118"/>
      <c r="H16" s="118"/>
      <c r="I16" s="118"/>
      <c r="J16" s="118"/>
    </row>
    <row r="17" spans="1:13" ht="30" customHeight="1">
      <c r="A17" s="2" t="s">
        <v>108</v>
      </c>
      <c r="B17" s="2" t="s">
        <v>376</v>
      </c>
      <c r="C17" s="2" t="s">
        <v>599</v>
      </c>
      <c r="D17" s="2" t="s">
        <v>600</v>
      </c>
      <c r="E17" s="2" t="s">
        <v>601</v>
      </c>
      <c r="F17" s="2" t="s">
        <v>602</v>
      </c>
      <c r="G17" s="2" t="s">
        <v>603</v>
      </c>
      <c r="H17" s="2" t="s">
        <v>485</v>
      </c>
      <c r="I17" s="2" t="s">
        <v>604</v>
      </c>
      <c r="J17" s="2" t="s">
        <v>71</v>
      </c>
    </row>
    <row r="18" spans="1:13" ht="42" customHeight="1">
      <c r="A18" s="9" t="s">
        <v>122</v>
      </c>
      <c r="B18" s="9" t="s">
        <v>124</v>
      </c>
      <c r="C18" s="12">
        <f>SUM('11 Optional Community'!F19:F20)</f>
        <v>0</v>
      </c>
      <c r="D18" s="12">
        <f>'11 Optional Community'!F19</f>
        <v>0</v>
      </c>
      <c r="E18" s="12">
        <f>'11 Optional Community'!F20</f>
        <v>0</v>
      </c>
      <c r="F18" s="10" t="str">
        <f t="shared" ref="F18:F23" si="0">IFERROR(D18/C18,"")</f>
        <v/>
      </c>
      <c r="G18" s="10" t="str">
        <f t="shared" ref="G18:G23" si="1">IFERROR(E18/C18,"")</f>
        <v/>
      </c>
      <c r="H18" s="12">
        <f>SUM('11 Optional Community'!I19:I20)</f>
        <v>0</v>
      </c>
      <c r="I18" s="9" t="str">
        <f>IF('11 Optional Community'!C8="","",'11 Optional Community'!C8)</f>
        <v/>
      </c>
      <c r="J18" s="9" t="str">
        <f>'11 Optional Community'!G8</f>
        <v>NOT USED</v>
      </c>
    </row>
    <row r="19" spans="1:13" ht="42" customHeight="1">
      <c r="A19" s="9" t="s">
        <v>125</v>
      </c>
      <c r="B19" s="9" t="s">
        <v>126</v>
      </c>
      <c r="C19" s="12">
        <f>SUM('11 Optional Community'!F21:F22)</f>
        <v>0</v>
      </c>
      <c r="D19" s="12">
        <f>'11 Optional Community'!F21</f>
        <v>0</v>
      </c>
      <c r="E19" s="12">
        <f>'11 Optional Community'!F22</f>
        <v>0</v>
      </c>
      <c r="F19" s="10" t="str">
        <f t="shared" si="0"/>
        <v/>
      </c>
      <c r="G19" s="10" t="str">
        <f t="shared" si="1"/>
        <v/>
      </c>
      <c r="H19" s="12">
        <f>SUM('11 Optional Community'!I21:I22)</f>
        <v>0</v>
      </c>
      <c r="I19" s="9" t="str">
        <f>IF('11 Optional Community'!C9="","",'11 Optional Community'!C9)</f>
        <v/>
      </c>
      <c r="J19" s="9" t="str">
        <f>'11 Optional Community'!G9</f>
        <v>NOT USED</v>
      </c>
    </row>
    <row r="20" spans="1:13" ht="42" customHeight="1">
      <c r="A20" s="9" t="s">
        <v>127</v>
      </c>
      <c r="B20" s="9" t="s">
        <v>128</v>
      </c>
      <c r="C20" s="12">
        <f>SUM('11 Optional Community'!F23:F24)</f>
        <v>0</v>
      </c>
      <c r="D20" s="12">
        <f>'11 Optional Community'!F23</f>
        <v>0</v>
      </c>
      <c r="E20" s="12">
        <f>'11 Optional Community'!F24</f>
        <v>0</v>
      </c>
      <c r="F20" s="10" t="str">
        <f t="shared" si="0"/>
        <v/>
      </c>
      <c r="G20" s="10" t="str">
        <f t="shared" si="1"/>
        <v/>
      </c>
      <c r="H20" s="12">
        <f>SUM('11 Optional Community'!I23:I24)</f>
        <v>0</v>
      </c>
      <c r="I20" s="9" t="str">
        <f>IF('11 Optional Community'!C10="","",'11 Optional Community'!C10)</f>
        <v/>
      </c>
      <c r="J20" s="9" t="str">
        <f>'11 Optional Community'!G10</f>
        <v>NOT USED</v>
      </c>
    </row>
    <row r="21" spans="1:13" ht="42" customHeight="1">
      <c r="A21" s="9" t="s">
        <v>129</v>
      </c>
      <c r="B21" s="9" t="s">
        <v>131</v>
      </c>
      <c r="C21" s="12">
        <f>SUM('11 Optional Community'!F25:F26)</f>
        <v>0</v>
      </c>
      <c r="D21" s="12">
        <f>'11 Optional Community'!F25</f>
        <v>0</v>
      </c>
      <c r="E21" s="12">
        <f>'11 Optional Community'!F26</f>
        <v>0</v>
      </c>
      <c r="F21" s="10" t="str">
        <f t="shared" si="0"/>
        <v/>
      </c>
      <c r="G21" s="10" t="str">
        <f t="shared" si="1"/>
        <v/>
      </c>
      <c r="H21" s="12">
        <f>SUM('11 Optional Community'!I25:I26)</f>
        <v>0</v>
      </c>
      <c r="I21" s="9" t="str">
        <f>IF('11 Optional Community'!C11="","",'11 Optional Community'!C11)</f>
        <v/>
      </c>
      <c r="J21" s="9" t="str">
        <f>'11 Optional Community'!G11</f>
        <v>NOT USED</v>
      </c>
    </row>
    <row r="22" spans="1:13" ht="42" customHeight="1">
      <c r="A22" s="22" t="s">
        <v>132</v>
      </c>
      <c r="B22" s="22" t="s">
        <v>133</v>
      </c>
      <c r="C22" s="22">
        <f>SUM('11 Optional Community'!F27:F28)</f>
        <v>0</v>
      </c>
      <c r="D22" s="22">
        <f>'11 Optional Community'!F27</f>
        <v>0</v>
      </c>
      <c r="E22" s="22">
        <f>'11 Optional Community'!F28</f>
        <v>0</v>
      </c>
      <c r="F22" s="22" t="str">
        <f t="shared" si="0"/>
        <v/>
      </c>
      <c r="G22" s="22" t="str">
        <f t="shared" si="1"/>
        <v/>
      </c>
      <c r="H22" s="22">
        <f>SUM('11 Optional Community'!I27:I28)</f>
        <v>0</v>
      </c>
      <c r="I22" s="22" t="str">
        <f>IF('11 Optional Community'!C12="","",'11 Optional Community'!C12)</f>
        <v/>
      </c>
      <c r="J22" s="22" t="str">
        <f>'11 Optional Community'!G12</f>
        <v>NOT USED</v>
      </c>
    </row>
    <row r="23" spans="1:13" ht="42" customHeight="1">
      <c r="A23" s="22" t="s">
        <v>134</v>
      </c>
      <c r="B23" s="22" t="s">
        <v>135</v>
      </c>
      <c r="C23" s="22">
        <f>SUM('11 Optional Community'!F29:F30)</f>
        <v>0</v>
      </c>
      <c r="D23" s="22">
        <f>'11 Optional Community'!F29</f>
        <v>0</v>
      </c>
      <c r="E23" s="22">
        <f>'11 Optional Community'!F30</f>
        <v>0</v>
      </c>
      <c r="F23" s="22" t="str">
        <f t="shared" si="0"/>
        <v/>
      </c>
      <c r="G23" s="22" t="str">
        <f t="shared" si="1"/>
        <v/>
      </c>
      <c r="H23" s="22">
        <f>SUM('11 Optional Community'!I29:I30)</f>
        <v>0</v>
      </c>
      <c r="I23" s="22" t="str">
        <f>IF('11 Optional Community'!C13="","",'11 Optional Community'!C13)</f>
        <v/>
      </c>
      <c r="J23" s="22" t="str">
        <f>'11 Optional Community'!G13</f>
        <v>NOT USED</v>
      </c>
    </row>
    <row r="24" spans="1:13" ht="24" customHeight="1">
      <c r="A24" s="118" t="s">
        <v>605</v>
      </c>
      <c r="B24" s="118"/>
      <c r="C24" s="118"/>
      <c r="D24" s="118"/>
      <c r="E24" s="118"/>
      <c r="F24" s="118"/>
      <c r="G24" s="118"/>
      <c r="H24" s="118"/>
      <c r="I24" s="118"/>
      <c r="J24" s="118"/>
      <c r="K24" s="118"/>
      <c r="L24" s="118"/>
      <c r="M24" s="118"/>
    </row>
    <row r="25" spans="1:13" ht="30" customHeight="1">
      <c r="A25" s="2" t="s">
        <v>437</v>
      </c>
      <c r="B25" s="2" t="s">
        <v>368</v>
      </c>
      <c r="C25" s="2" t="s">
        <v>606</v>
      </c>
      <c r="D25" s="2" t="s">
        <v>607</v>
      </c>
      <c r="E25" s="2" t="s">
        <v>608</v>
      </c>
      <c r="F25" s="2" t="s">
        <v>609</v>
      </c>
      <c r="G25" s="2" t="s">
        <v>610</v>
      </c>
      <c r="H25" s="2" t="s">
        <v>611</v>
      </c>
      <c r="I25" s="2" t="s">
        <v>612</v>
      </c>
      <c r="J25" s="2" t="s">
        <v>613</v>
      </c>
      <c r="K25" s="2" t="s">
        <v>614</v>
      </c>
      <c r="L25" s="2" t="s">
        <v>71</v>
      </c>
      <c r="M25" s="2" t="s">
        <v>615</v>
      </c>
    </row>
    <row r="26" spans="1:13">
      <c r="A26" s="9" t="s">
        <v>213</v>
      </c>
      <c r="B26" s="9" t="str">
        <f>IF('02 Hospice Setup'!$B$20="","",'02 Hospice Setup'!$B$20)</f>
        <v/>
      </c>
      <c r="C26" s="9" t="s">
        <v>439</v>
      </c>
      <c r="D26" s="44">
        <f>'10 Optional IPU Care Type'!D12</f>
        <v>0</v>
      </c>
      <c r="E26" s="12">
        <f>IFERROR(D26*'10 Optional IPU Care Type'!D36/'10 Optional IPU Care Type'!H28,0)</f>
        <v>0</v>
      </c>
      <c r="F26" s="63">
        <f>IF('10 Optional IPU Care Type'!O36&lt;&gt;"",'10 Optional IPU Care Type'!O36,SUMIF('16 Calculations'!$A$5:$A$34,A26,'16 Calculations'!$T$5:$T$34))</f>
        <v>0</v>
      </c>
      <c r="G26" s="63">
        <f>MAX(0,'14 Detailed Results'!$F$6-F26)</f>
        <v>0</v>
      </c>
      <c r="H26" s="63" t="str">
        <f>IF(L26&lt;&gt;"ESTIMATED","",IFERROR(F26*E26/SUM($E$26:$E$28),0))</f>
        <v/>
      </c>
      <c r="I26" s="63" t="str">
        <f>IF(L26&lt;&gt;"ESTIMATED","",IFERROR(G26*D26/'10 Optional IPU Care Type'!$C$12,0))</f>
        <v/>
      </c>
      <c r="J26" s="63" t="str">
        <f t="shared" ref="J26:J34" si="2">IF(L26&lt;&gt;"ESTIMATED","",H26+I26)</f>
        <v/>
      </c>
      <c r="K26" s="63" t="str">
        <f t="shared" ref="K26:K34" si="3">IF(L26&lt;&gt;"ESTIMATED","",IFERROR(J26/D26,""))</f>
        <v/>
      </c>
      <c r="L26"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AVAILABLE",IF(OR(F26&lt;0,F26&gt;SUMIF('16 Calculations'!$A$5:$A$34,A26,'16 Calculations'!$T$5:$T$34)),"REVIEW CARE COST",IF(D26=0,"NO ACTIVITY","ESTIMATED")))</f>
        <v>NOT AVAILABLE</v>
      </c>
      <c r="M26"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7" spans="1:13">
      <c r="A27" s="9" t="s">
        <v>213</v>
      </c>
      <c r="B27" s="9" t="str">
        <f>IF('02 Hospice Setup'!$B$20="","",'02 Hospice Setup'!$B$20)</f>
        <v/>
      </c>
      <c r="C27" s="9" t="s">
        <v>440</v>
      </c>
      <c r="D27" s="44">
        <f>'10 Optional IPU Care Type'!E12</f>
        <v>0</v>
      </c>
      <c r="E27" s="12">
        <f>IFERROR(D27*'10 Optional IPU Care Type'!E36/'10 Optional IPU Care Type'!I28,0)</f>
        <v>0</v>
      </c>
      <c r="F27" s="63">
        <f>IF('10 Optional IPU Care Type'!O36&lt;&gt;"",'10 Optional IPU Care Type'!O36,SUMIF('16 Calculations'!$A$5:$A$34,A27,'16 Calculations'!$T$5:$T$34))</f>
        <v>0</v>
      </c>
      <c r="G27" s="63">
        <f>MAX(0,'14 Detailed Results'!$F$6-F27)</f>
        <v>0</v>
      </c>
      <c r="H27" s="63" t="str">
        <f>IF(L27&lt;&gt;"ESTIMATED","",IFERROR(F27*E27/SUM($E$26:$E$28),0))</f>
        <v/>
      </c>
      <c r="I27" s="63" t="str">
        <f>IF(L27&lt;&gt;"ESTIMATED","",IFERROR(G27*D27/'10 Optional IPU Care Type'!$C$12,0))</f>
        <v/>
      </c>
      <c r="J27" s="63" t="str">
        <f t="shared" si="2"/>
        <v/>
      </c>
      <c r="K27" s="63" t="str">
        <f t="shared" si="3"/>
        <v/>
      </c>
      <c r="L27"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AVAILABLE",IF(OR(F27&lt;0,F27&gt;SUMIF('16 Calculations'!$A$5:$A$34,A27,'16 Calculations'!$T$5:$T$34)),"REVIEW CARE COST",IF(D27=0,"NO ACTIVITY","ESTIMATED")))</f>
        <v>NOT AVAILABLE</v>
      </c>
      <c r="M27"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8" spans="1:13">
      <c r="A28" s="9" t="s">
        <v>213</v>
      </c>
      <c r="B28" s="9" t="str">
        <f>IF('02 Hospice Setup'!$B$20="","",'02 Hospice Setup'!$B$20)</f>
        <v/>
      </c>
      <c r="C28" s="9" t="s">
        <v>441</v>
      </c>
      <c r="D28" s="44">
        <f>'10 Optional IPU Care Type'!F12</f>
        <v>0</v>
      </c>
      <c r="E28" s="12">
        <f>IFERROR(D28*'10 Optional IPU Care Type'!F36/'10 Optional IPU Care Type'!J28,0)</f>
        <v>0</v>
      </c>
      <c r="F28" s="63">
        <f>IF('10 Optional IPU Care Type'!O36&lt;&gt;"",'10 Optional IPU Care Type'!O36,SUMIF('16 Calculations'!$A$5:$A$34,A28,'16 Calculations'!$T$5:$T$34))</f>
        <v>0</v>
      </c>
      <c r="G28" s="63">
        <f>MAX(0,'14 Detailed Results'!$F$6-F28)</f>
        <v>0</v>
      </c>
      <c r="H28" s="63" t="str">
        <f>IF(L28&lt;&gt;"ESTIMATED","",IFERROR(F28*E28/SUM($E$26:$E$28),0))</f>
        <v/>
      </c>
      <c r="I28" s="63" t="str">
        <f>IF(L28&lt;&gt;"ESTIMATED","",IFERROR(G28*D28/'10 Optional IPU Care Type'!$C$12,0))</f>
        <v/>
      </c>
      <c r="J28" s="63" t="str">
        <f t="shared" si="2"/>
        <v/>
      </c>
      <c r="K28" s="63" t="str">
        <f t="shared" si="3"/>
        <v/>
      </c>
      <c r="L28"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AVAILABLE",IF(OR(F28&lt;0,F28&gt;SUMIF('16 Calculations'!$A$5:$A$34,A28,'16 Calculations'!$T$5:$T$34)),"REVIEW CARE COST",IF(D28=0,"NO ACTIVITY","ESTIMATED")))</f>
        <v>NOT AVAILABLE</v>
      </c>
      <c r="M28"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9" spans="1:13">
      <c r="A29" s="9" t="s">
        <v>214</v>
      </c>
      <c r="B29" s="9" t="str">
        <f>IF('02 Hospice Setup'!$B$21="","",'02 Hospice Setup'!$B$21)</f>
        <v/>
      </c>
      <c r="C29" s="9" t="s">
        <v>439</v>
      </c>
      <c r="D29" s="44">
        <f>'10 Optional IPU Care Type'!D13</f>
        <v>0</v>
      </c>
      <c r="E29" s="12">
        <f>IFERROR(D29*'10 Optional IPU Care Type'!D37/'10 Optional IPU Care Type'!H29,0)</f>
        <v>0</v>
      </c>
      <c r="F29" s="63">
        <f>IF('10 Optional IPU Care Type'!O37&lt;&gt;"",'10 Optional IPU Care Type'!O37,SUMIF('16 Calculations'!$A$5:$A$34,A29,'16 Calculations'!$T$5:$T$34))</f>
        <v>0</v>
      </c>
      <c r="G29" s="63">
        <f>MAX(0,'14 Detailed Results'!$F$7-F29)</f>
        <v>0</v>
      </c>
      <c r="H29" s="63" t="str">
        <f>IF(L29&lt;&gt;"ESTIMATED","",IFERROR(F29*E29/SUM($E$29:$E$31),0))</f>
        <v/>
      </c>
      <c r="I29" s="63" t="str">
        <f>IF(L29&lt;&gt;"ESTIMATED","",IFERROR(G29*D29/'10 Optional IPU Care Type'!$C$13,0))</f>
        <v/>
      </c>
      <c r="J29" s="63" t="str">
        <f t="shared" si="2"/>
        <v/>
      </c>
      <c r="K29" s="63" t="str">
        <f t="shared" si="3"/>
        <v/>
      </c>
      <c r="L29"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AVAILABLE",IF(OR(F29&lt;0,F29&gt;SUMIF('16 Calculations'!$A$5:$A$34,A29,'16 Calculations'!$T$5:$T$34)),"REVIEW CARE COST",IF(D29=0,"NO ACTIVITY","ESTIMATED")))</f>
        <v>NOT AVAILABLE</v>
      </c>
      <c r="M29"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0" spans="1:13">
      <c r="A30" s="9" t="s">
        <v>214</v>
      </c>
      <c r="B30" s="9" t="str">
        <f>IF('02 Hospice Setup'!$B$21="","",'02 Hospice Setup'!$B$21)</f>
        <v/>
      </c>
      <c r="C30" s="9" t="s">
        <v>440</v>
      </c>
      <c r="D30" s="44">
        <f>'10 Optional IPU Care Type'!E13</f>
        <v>0</v>
      </c>
      <c r="E30" s="12">
        <f>IFERROR(D30*'10 Optional IPU Care Type'!E37/'10 Optional IPU Care Type'!I29,0)</f>
        <v>0</v>
      </c>
      <c r="F30" s="63">
        <f>IF('10 Optional IPU Care Type'!O37&lt;&gt;"",'10 Optional IPU Care Type'!O37,SUMIF('16 Calculations'!$A$5:$A$34,A30,'16 Calculations'!$T$5:$T$34))</f>
        <v>0</v>
      </c>
      <c r="G30" s="63">
        <f>MAX(0,'14 Detailed Results'!$F$7-F30)</f>
        <v>0</v>
      </c>
      <c r="H30" s="63" t="str">
        <f>IF(L30&lt;&gt;"ESTIMATED","",IFERROR(F30*E30/SUM($E$29:$E$31),0))</f>
        <v/>
      </c>
      <c r="I30" s="63" t="str">
        <f>IF(L30&lt;&gt;"ESTIMATED","",IFERROR(G30*D30/'10 Optional IPU Care Type'!$C$13,0))</f>
        <v/>
      </c>
      <c r="J30" s="63" t="str">
        <f t="shared" si="2"/>
        <v/>
      </c>
      <c r="K30" s="63" t="str">
        <f t="shared" si="3"/>
        <v/>
      </c>
      <c r="L30"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AVAILABLE",IF(OR(F30&lt;0,F30&gt;SUMIF('16 Calculations'!$A$5:$A$34,A30,'16 Calculations'!$T$5:$T$34)),"REVIEW CARE COST",IF(D30=0,"NO ACTIVITY","ESTIMATED")))</f>
        <v>NOT AVAILABLE</v>
      </c>
      <c r="M30"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1" spans="1:13">
      <c r="A31" s="9" t="s">
        <v>214</v>
      </c>
      <c r="B31" s="9" t="str">
        <f>IF('02 Hospice Setup'!$B$21="","",'02 Hospice Setup'!$B$21)</f>
        <v/>
      </c>
      <c r="C31" s="9" t="s">
        <v>441</v>
      </c>
      <c r="D31" s="44">
        <f>'10 Optional IPU Care Type'!F13</f>
        <v>0</v>
      </c>
      <c r="E31" s="12">
        <f>IFERROR(D31*'10 Optional IPU Care Type'!F37/'10 Optional IPU Care Type'!J29,0)</f>
        <v>0</v>
      </c>
      <c r="F31" s="63">
        <f>IF('10 Optional IPU Care Type'!O37&lt;&gt;"",'10 Optional IPU Care Type'!O37,SUMIF('16 Calculations'!$A$5:$A$34,A31,'16 Calculations'!$T$5:$T$34))</f>
        <v>0</v>
      </c>
      <c r="G31" s="63">
        <f>MAX(0,'14 Detailed Results'!$F$7-F31)</f>
        <v>0</v>
      </c>
      <c r="H31" s="63" t="str">
        <f>IF(L31&lt;&gt;"ESTIMATED","",IFERROR(F31*E31/SUM($E$29:$E$31),0))</f>
        <v/>
      </c>
      <c r="I31" s="63" t="str">
        <f>IF(L31&lt;&gt;"ESTIMATED","",IFERROR(G31*D31/'10 Optional IPU Care Type'!$C$13,0))</f>
        <v/>
      </c>
      <c r="J31" s="63" t="str">
        <f t="shared" si="2"/>
        <v/>
      </c>
      <c r="K31" s="63" t="str">
        <f t="shared" si="3"/>
        <v/>
      </c>
      <c r="L31"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AVAILABLE",IF(OR(F31&lt;0,F31&gt;SUMIF('16 Calculations'!$A$5:$A$34,A31,'16 Calculations'!$T$5:$T$34)),"REVIEW CARE COST",IF(D31=0,"NO ACTIVITY","ESTIMATED")))</f>
        <v>NOT AVAILABLE</v>
      </c>
      <c r="M31"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2" spans="1:13">
      <c r="A32" s="9" t="s">
        <v>215</v>
      </c>
      <c r="B32" s="9" t="str">
        <f>IF('02 Hospice Setup'!$B$22="","",'02 Hospice Setup'!$B$22)</f>
        <v/>
      </c>
      <c r="C32" s="9" t="s">
        <v>439</v>
      </c>
      <c r="D32" s="44">
        <f>'10 Optional IPU Care Type'!D14</f>
        <v>0</v>
      </c>
      <c r="E32" s="12">
        <f>IFERROR(D32*'10 Optional IPU Care Type'!D38/'10 Optional IPU Care Type'!H30,0)</f>
        <v>0</v>
      </c>
      <c r="F32" s="63">
        <f>IF('10 Optional IPU Care Type'!O38&lt;&gt;"",'10 Optional IPU Care Type'!O38,SUMIF('16 Calculations'!$A$5:$A$34,A32,'16 Calculations'!$T$5:$T$34))</f>
        <v>0</v>
      </c>
      <c r="G32" s="63">
        <f>MAX(0,'14 Detailed Results'!$F$8-F32)</f>
        <v>0</v>
      </c>
      <c r="H32" s="63" t="str">
        <f>IF(L32&lt;&gt;"ESTIMATED","",IFERROR(F32*E32/SUM($E$32:$E$34),0))</f>
        <v/>
      </c>
      <c r="I32" s="63" t="str">
        <f>IF(L32&lt;&gt;"ESTIMATED","",IFERROR(G32*D32/'10 Optional IPU Care Type'!$C$14,0))</f>
        <v/>
      </c>
      <c r="J32" s="63" t="str">
        <f t="shared" si="2"/>
        <v/>
      </c>
      <c r="K32" s="63" t="str">
        <f t="shared" si="3"/>
        <v/>
      </c>
      <c r="L32"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AVAILABLE",IF(OR(F32&lt;0,F32&gt;SUMIF('16 Calculations'!$A$5:$A$34,A32,'16 Calculations'!$T$5:$T$34)),"REVIEW CARE COST",IF(D32=0,"NO ACTIVITY","ESTIMATED")))</f>
        <v>NOT AVAILABLE</v>
      </c>
      <c r="M32"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3" spans="1:13">
      <c r="A33" s="9" t="s">
        <v>215</v>
      </c>
      <c r="B33" s="9" t="str">
        <f>IF('02 Hospice Setup'!$B$22="","",'02 Hospice Setup'!$B$22)</f>
        <v/>
      </c>
      <c r="C33" s="9" t="s">
        <v>440</v>
      </c>
      <c r="D33" s="44">
        <f>'10 Optional IPU Care Type'!E14</f>
        <v>0</v>
      </c>
      <c r="E33" s="12">
        <f>IFERROR(D33*'10 Optional IPU Care Type'!E38/'10 Optional IPU Care Type'!I30,0)</f>
        <v>0</v>
      </c>
      <c r="F33" s="63">
        <f>IF('10 Optional IPU Care Type'!O38&lt;&gt;"",'10 Optional IPU Care Type'!O38,SUMIF('16 Calculations'!$A$5:$A$34,A33,'16 Calculations'!$T$5:$T$34))</f>
        <v>0</v>
      </c>
      <c r="G33" s="63">
        <f>MAX(0,'14 Detailed Results'!$F$8-F33)</f>
        <v>0</v>
      </c>
      <c r="H33" s="63" t="str">
        <f>IF(L33&lt;&gt;"ESTIMATED","",IFERROR(F33*E33/SUM($E$32:$E$34),0))</f>
        <v/>
      </c>
      <c r="I33" s="63" t="str">
        <f>IF(L33&lt;&gt;"ESTIMATED","",IFERROR(G33*D33/'10 Optional IPU Care Type'!$C$14,0))</f>
        <v/>
      </c>
      <c r="J33" s="63" t="str">
        <f t="shared" si="2"/>
        <v/>
      </c>
      <c r="K33" s="63" t="str">
        <f t="shared" si="3"/>
        <v/>
      </c>
      <c r="L33"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AVAILABLE",IF(OR(F33&lt;0,F33&gt;SUMIF('16 Calculations'!$A$5:$A$34,A33,'16 Calculations'!$T$5:$T$34)),"REVIEW CARE COST",IF(D33=0,"NO ACTIVITY","ESTIMATED")))</f>
        <v>NOT AVAILABLE</v>
      </c>
      <c r="M33"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4" spans="1:13">
      <c r="A34" s="9" t="s">
        <v>215</v>
      </c>
      <c r="B34" s="9" t="str">
        <f>IF('02 Hospice Setup'!$B$22="","",'02 Hospice Setup'!$B$22)</f>
        <v/>
      </c>
      <c r="C34" s="9" t="s">
        <v>441</v>
      </c>
      <c r="D34" s="44">
        <f>'10 Optional IPU Care Type'!F14</f>
        <v>0</v>
      </c>
      <c r="E34" s="12">
        <f>IFERROR(D34*'10 Optional IPU Care Type'!F38/'10 Optional IPU Care Type'!J30,0)</f>
        <v>0</v>
      </c>
      <c r="F34" s="63">
        <f>IF('10 Optional IPU Care Type'!O38&lt;&gt;"",'10 Optional IPU Care Type'!O38,SUMIF('16 Calculations'!$A$5:$A$34,A34,'16 Calculations'!$T$5:$T$34))</f>
        <v>0</v>
      </c>
      <c r="G34" s="63">
        <f>MAX(0,'14 Detailed Results'!$F$8-F34)</f>
        <v>0</v>
      </c>
      <c r="H34" s="63" t="str">
        <f>IF(L34&lt;&gt;"ESTIMATED","",IFERROR(F34*E34/SUM($E$32:$E$34),0))</f>
        <v/>
      </c>
      <c r="I34" s="63" t="str">
        <f>IF(L34&lt;&gt;"ESTIMATED","",IFERROR(G34*D34/'10 Optional IPU Care Type'!$C$14,0))</f>
        <v/>
      </c>
      <c r="J34" s="63" t="str">
        <f t="shared" si="2"/>
        <v/>
      </c>
      <c r="K34" s="63" t="str">
        <f t="shared" si="3"/>
        <v/>
      </c>
      <c r="L34"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AVAILABLE",IF(OR(F34&lt;0,F34&gt;SUMIF('16 Calculations'!$A$5:$A$34,A34,'16 Calculations'!$T$5:$T$34)),"REVIEW CARE COST",IF(D34=0,"NO ACTIVITY","ESTIMATED")))</f>
        <v>NOT AVAILABLE</v>
      </c>
      <c r="M34"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6" spans="1:13" ht="24" customHeight="1">
      <c r="A36" s="118" t="s">
        <v>616</v>
      </c>
      <c r="B36" s="118"/>
      <c r="C36" s="118"/>
      <c r="D36" s="118"/>
      <c r="E36" s="118"/>
      <c r="F36" s="118"/>
      <c r="G36" s="118"/>
      <c r="H36" s="118"/>
      <c r="I36" s="118"/>
      <c r="J36" s="118"/>
      <c r="K36" s="118"/>
      <c r="L36" s="118"/>
      <c r="M36" s="118"/>
    </row>
    <row r="37" spans="1:13" ht="30" customHeight="1">
      <c r="A37" s="2" t="s">
        <v>108</v>
      </c>
      <c r="B37" s="2" t="s">
        <v>376</v>
      </c>
      <c r="C37" s="2" t="s">
        <v>617</v>
      </c>
      <c r="D37" s="2" t="s">
        <v>618</v>
      </c>
      <c r="E37" s="2" t="s">
        <v>485</v>
      </c>
      <c r="F37" s="2" t="s">
        <v>619</v>
      </c>
      <c r="G37" s="2" t="s">
        <v>620</v>
      </c>
      <c r="H37" s="2" t="s">
        <v>621</v>
      </c>
      <c r="I37" s="2" t="s">
        <v>612</v>
      </c>
      <c r="J37" s="2" t="s">
        <v>613</v>
      </c>
      <c r="K37" s="2" t="s">
        <v>622</v>
      </c>
      <c r="L37" s="2" t="s">
        <v>71</v>
      </c>
      <c r="M37" s="2" t="s">
        <v>615</v>
      </c>
    </row>
    <row r="38" spans="1:13" ht="42" customHeight="1">
      <c r="A38" s="9" t="s">
        <v>122</v>
      </c>
      <c r="B38" s="9" t="s">
        <v>124</v>
      </c>
      <c r="C38" s="9" t="s">
        <v>486</v>
      </c>
      <c r="D38" s="12">
        <f>'11 Optional Community'!F19</f>
        <v>0</v>
      </c>
      <c r="E38" s="12" t="str">
        <f>'11 Optional Community'!I19</f>
        <v/>
      </c>
      <c r="F38" s="63">
        <f>SUMIF('16 Calculations'!$A$5:$A$34,A38,'16 Calculations'!$S$5:$S$34)+SUMIF('16 Calculations'!$A$5:$A$34,A38,'16 Calculations'!$T$5:$T$34)</f>
        <v>0</v>
      </c>
      <c r="G38" s="63">
        <f>MAX(0,SUMIF('14 Detailed Results'!$A$5:$A$35,A38,'14 Detailed Results'!$F$5:$F$35)-F38)</f>
        <v>0</v>
      </c>
      <c r="H38" s="63">
        <f>IF(OR('11 Optional Community'!$G$8="STAFF-TIME DATA REQUIRED",'11 Optional Community'!$G$8="CHOOSE STAFF-TIME METHOD"),"",IFERROR(F38*E38/SUM('11 Optional Community'!$I$19:$I$20),0))</f>
        <v>0</v>
      </c>
      <c r="I38" s="63">
        <f>IF(H38="","",IFERROR(G38*D38/SUM('11 Optional Community'!$F$19:$F$20),0))</f>
        <v>0</v>
      </c>
      <c r="J38" s="63">
        <f t="shared" ref="J38:J49" si="4">IF(H38="","",H38+I38)</f>
        <v>0</v>
      </c>
      <c r="K38" s="64" t="str">
        <f t="shared" ref="K38:K49" si="5">IF(J38="","",IFERROR(J38/D38,""))</f>
        <v/>
      </c>
      <c r="L38" s="9" t="str">
        <f>IF(SUM('11 Optional Community'!$F$19:$F$20)=0,"NOT USED",IF(OR('11 Optional Community'!$G$8="STAFF-TIME DATA REQUIRED",'11 Optional Community'!$G$8="CHOOSE STAFF-TIME METHOD"),"STAFF-TIME DATA REQUIRED",IF(D38=0,"NO CONTACTS","ESTIMATED")))</f>
        <v>NOT USED</v>
      </c>
      <c r="M38" s="9" t="s">
        <v>623</v>
      </c>
    </row>
    <row r="39" spans="1:13" ht="42" customHeight="1">
      <c r="A39" s="9" t="s">
        <v>122</v>
      </c>
      <c r="B39" s="9" t="s">
        <v>124</v>
      </c>
      <c r="C39" s="9" t="s">
        <v>489</v>
      </c>
      <c r="D39" s="12">
        <f>'11 Optional Community'!F20</f>
        <v>0</v>
      </c>
      <c r="E39" s="12" t="str">
        <f>'11 Optional Community'!I20</f>
        <v/>
      </c>
      <c r="F39" s="63">
        <f>SUMIF('16 Calculations'!$A$5:$A$34,A39,'16 Calculations'!$S$5:$S$34)+SUMIF('16 Calculations'!$A$5:$A$34,A39,'16 Calculations'!$T$5:$T$34)</f>
        <v>0</v>
      </c>
      <c r="G39" s="63">
        <f>MAX(0,SUMIF('14 Detailed Results'!$A$5:$A$35,A39,'14 Detailed Results'!$F$5:$F$35)-F39)</f>
        <v>0</v>
      </c>
      <c r="H39" s="63">
        <f>IF(OR('11 Optional Community'!$G$8="STAFF-TIME DATA REQUIRED",'11 Optional Community'!$G$8="CHOOSE STAFF-TIME METHOD"),"",IFERROR(F39*E39/SUM('11 Optional Community'!$I$19:$I$20),0))</f>
        <v>0</v>
      </c>
      <c r="I39" s="63">
        <f>IF(H39="","",IFERROR(G39*D39/SUM('11 Optional Community'!$F$19:$F$20),0))</f>
        <v>0</v>
      </c>
      <c r="J39" s="63">
        <f t="shared" si="4"/>
        <v>0</v>
      </c>
      <c r="K39" s="64" t="str">
        <f t="shared" si="5"/>
        <v/>
      </c>
      <c r="L39" s="9" t="str">
        <f>IF(SUM('11 Optional Community'!$F$19:$F$20)=0,"NOT USED",IF(OR('11 Optional Community'!$G$8="STAFF-TIME DATA REQUIRED",'11 Optional Community'!$G$8="CHOOSE STAFF-TIME METHOD"),"STAFF-TIME DATA REQUIRED",IF(D39=0,"NO CONTACTS","ESTIMATED")))</f>
        <v>NOT USED</v>
      </c>
      <c r="M39" s="9" t="s">
        <v>623</v>
      </c>
    </row>
    <row r="40" spans="1:13" ht="42" customHeight="1">
      <c r="A40" s="9" t="s">
        <v>125</v>
      </c>
      <c r="B40" s="9" t="s">
        <v>126</v>
      </c>
      <c r="C40" s="9" t="s">
        <v>486</v>
      </c>
      <c r="D40" s="12">
        <f>'11 Optional Community'!F21</f>
        <v>0</v>
      </c>
      <c r="E40" s="12" t="str">
        <f>'11 Optional Community'!I21</f>
        <v/>
      </c>
      <c r="F40" s="63">
        <f>SUMIF('16 Calculations'!$A$5:$A$34,A40,'16 Calculations'!$S$5:$S$34)+SUMIF('16 Calculations'!$A$5:$A$34,A40,'16 Calculations'!$T$5:$T$34)</f>
        <v>0</v>
      </c>
      <c r="G40" s="63">
        <f>MAX(0,SUMIF('14 Detailed Results'!$A$5:$A$35,A40,'14 Detailed Results'!$F$5:$F$35)-F40)</f>
        <v>0</v>
      </c>
      <c r="H40" s="63">
        <f>IF(OR('11 Optional Community'!$G$9="STAFF-TIME DATA REQUIRED",'11 Optional Community'!$G$9="CHOOSE STAFF-TIME METHOD"),"",IFERROR(F40*E40/SUM('11 Optional Community'!$I$21:$I$22),0))</f>
        <v>0</v>
      </c>
      <c r="I40" s="63">
        <f>IF(H40="","",IFERROR(G40*D40/SUM('11 Optional Community'!$F$21:$F$22),0))</f>
        <v>0</v>
      </c>
      <c r="J40" s="63">
        <f t="shared" si="4"/>
        <v>0</v>
      </c>
      <c r="K40" s="64" t="str">
        <f t="shared" si="5"/>
        <v/>
      </c>
      <c r="L40" s="9" t="str">
        <f>IF(SUM('11 Optional Community'!$F$21:$F$22)=0,"NOT USED",IF(OR('11 Optional Community'!$G$9="STAFF-TIME DATA REQUIRED",'11 Optional Community'!$G$9="CHOOSE STAFF-TIME METHOD"),"STAFF-TIME DATA REQUIRED",IF(D40=0,"NO CONTACTS","ESTIMATED")))</f>
        <v>NOT USED</v>
      </c>
      <c r="M40" s="9" t="s">
        <v>623</v>
      </c>
    </row>
    <row r="41" spans="1:13" ht="42" customHeight="1">
      <c r="A41" s="9" t="s">
        <v>125</v>
      </c>
      <c r="B41" s="9" t="s">
        <v>126</v>
      </c>
      <c r="C41" s="9" t="s">
        <v>489</v>
      </c>
      <c r="D41" s="12">
        <f>'11 Optional Community'!F22</f>
        <v>0</v>
      </c>
      <c r="E41" s="12" t="str">
        <f>'11 Optional Community'!I22</f>
        <v/>
      </c>
      <c r="F41" s="63">
        <f>SUMIF('16 Calculations'!$A$5:$A$34,A41,'16 Calculations'!$S$5:$S$34)+SUMIF('16 Calculations'!$A$5:$A$34,A41,'16 Calculations'!$T$5:$T$34)</f>
        <v>0</v>
      </c>
      <c r="G41" s="63">
        <f>MAX(0,SUMIF('14 Detailed Results'!$A$5:$A$35,A41,'14 Detailed Results'!$F$5:$F$35)-F41)</f>
        <v>0</v>
      </c>
      <c r="H41" s="63">
        <f>IF(OR('11 Optional Community'!$G$9="STAFF-TIME DATA REQUIRED",'11 Optional Community'!$G$9="CHOOSE STAFF-TIME METHOD"),"",IFERROR(F41*E41/SUM('11 Optional Community'!$I$21:$I$22),0))</f>
        <v>0</v>
      </c>
      <c r="I41" s="63">
        <f>IF(H41="","",IFERROR(G41*D41/SUM('11 Optional Community'!$F$21:$F$22),0))</f>
        <v>0</v>
      </c>
      <c r="J41" s="63">
        <f t="shared" si="4"/>
        <v>0</v>
      </c>
      <c r="K41" s="64" t="str">
        <f t="shared" si="5"/>
        <v/>
      </c>
      <c r="L41" s="9" t="str">
        <f>IF(SUM('11 Optional Community'!$F$21:$F$22)=0,"NOT USED",IF(OR('11 Optional Community'!$G$9="STAFF-TIME DATA REQUIRED",'11 Optional Community'!$G$9="CHOOSE STAFF-TIME METHOD"),"STAFF-TIME DATA REQUIRED",IF(D41=0,"NO CONTACTS","ESTIMATED")))</f>
        <v>NOT USED</v>
      </c>
      <c r="M41" s="9" t="s">
        <v>623</v>
      </c>
    </row>
    <row r="42" spans="1:13" ht="42" customHeight="1">
      <c r="A42" s="9" t="s">
        <v>127</v>
      </c>
      <c r="B42" s="9" t="s">
        <v>128</v>
      </c>
      <c r="C42" s="9" t="s">
        <v>486</v>
      </c>
      <c r="D42" s="12">
        <f>'11 Optional Community'!F23</f>
        <v>0</v>
      </c>
      <c r="E42" s="12" t="str">
        <f>'11 Optional Community'!I23</f>
        <v/>
      </c>
      <c r="F42" s="63">
        <f>SUMIF('16 Calculations'!$A$5:$A$34,A42,'16 Calculations'!$S$5:$S$34)+SUMIF('16 Calculations'!$A$5:$A$34,A42,'16 Calculations'!$T$5:$T$34)</f>
        <v>0</v>
      </c>
      <c r="G42" s="63">
        <f>MAX(0,SUMIF('14 Detailed Results'!$A$5:$A$35,A42,'14 Detailed Results'!$F$5:$F$35)-F42)</f>
        <v>0</v>
      </c>
      <c r="H42" s="63">
        <f>IF(OR('11 Optional Community'!$G$10="STAFF-TIME DATA REQUIRED",'11 Optional Community'!$G$10="CHOOSE STAFF-TIME METHOD"),"",IFERROR(F42*E42/SUM('11 Optional Community'!$I$23:$I$24),0))</f>
        <v>0</v>
      </c>
      <c r="I42" s="63">
        <f>IF(H42="","",IFERROR(G42*D42/SUM('11 Optional Community'!$F$23:$F$24),0))</f>
        <v>0</v>
      </c>
      <c r="J42" s="63">
        <f t="shared" si="4"/>
        <v>0</v>
      </c>
      <c r="K42" s="64" t="str">
        <f t="shared" si="5"/>
        <v/>
      </c>
      <c r="L42" s="9" t="str">
        <f>IF(SUM('11 Optional Community'!$F$23:$F$24)=0,"NOT USED",IF(OR('11 Optional Community'!$G$10="STAFF-TIME DATA REQUIRED",'11 Optional Community'!$G$10="CHOOSE STAFF-TIME METHOD"),"STAFF-TIME DATA REQUIRED",IF(D42=0,"NO CONTACTS","ESTIMATED")))</f>
        <v>NOT USED</v>
      </c>
      <c r="M42" s="9" t="s">
        <v>623</v>
      </c>
    </row>
    <row r="43" spans="1:13" ht="42" customHeight="1">
      <c r="A43" s="9" t="s">
        <v>127</v>
      </c>
      <c r="B43" s="9" t="s">
        <v>128</v>
      </c>
      <c r="C43" s="9" t="s">
        <v>489</v>
      </c>
      <c r="D43" s="12">
        <f>'11 Optional Community'!F24</f>
        <v>0</v>
      </c>
      <c r="E43" s="12" t="str">
        <f>'11 Optional Community'!I24</f>
        <v/>
      </c>
      <c r="F43" s="63">
        <f>SUMIF('16 Calculations'!$A$5:$A$34,A43,'16 Calculations'!$S$5:$S$34)+SUMIF('16 Calculations'!$A$5:$A$34,A43,'16 Calculations'!$T$5:$T$34)</f>
        <v>0</v>
      </c>
      <c r="G43" s="63">
        <f>MAX(0,SUMIF('14 Detailed Results'!$A$5:$A$35,A43,'14 Detailed Results'!$F$5:$F$35)-F43)</f>
        <v>0</v>
      </c>
      <c r="H43" s="63">
        <f>IF(OR('11 Optional Community'!$G$10="STAFF-TIME DATA REQUIRED",'11 Optional Community'!$G$10="CHOOSE STAFF-TIME METHOD"),"",IFERROR(F43*E43/SUM('11 Optional Community'!$I$23:$I$24),0))</f>
        <v>0</v>
      </c>
      <c r="I43" s="63">
        <f>IF(H43="","",IFERROR(G43*D43/SUM('11 Optional Community'!$F$23:$F$24),0))</f>
        <v>0</v>
      </c>
      <c r="J43" s="63">
        <f t="shared" si="4"/>
        <v>0</v>
      </c>
      <c r="K43" s="64" t="str">
        <f t="shared" si="5"/>
        <v/>
      </c>
      <c r="L43" s="9" t="str">
        <f>IF(SUM('11 Optional Community'!$F$23:$F$24)=0,"NOT USED",IF(OR('11 Optional Community'!$G$10="STAFF-TIME DATA REQUIRED",'11 Optional Community'!$G$10="CHOOSE STAFF-TIME METHOD"),"STAFF-TIME DATA REQUIRED",IF(D43=0,"NO CONTACTS","ESTIMATED")))</f>
        <v>NOT USED</v>
      </c>
      <c r="M43" s="9" t="s">
        <v>623</v>
      </c>
    </row>
    <row r="44" spans="1:13" ht="42" customHeight="1">
      <c r="A44" s="9" t="s">
        <v>129</v>
      </c>
      <c r="B44" s="9" t="s">
        <v>131</v>
      </c>
      <c r="C44" s="9" t="s">
        <v>486</v>
      </c>
      <c r="D44" s="12">
        <f>'11 Optional Community'!F25</f>
        <v>0</v>
      </c>
      <c r="E44" s="12" t="str">
        <f>'11 Optional Community'!I25</f>
        <v/>
      </c>
      <c r="F44" s="63">
        <f>SUMIF('16 Calculations'!$A$5:$A$34,A44,'16 Calculations'!$S$5:$S$34)+SUMIF('16 Calculations'!$A$5:$A$34,A44,'16 Calculations'!$T$5:$T$34)</f>
        <v>0</v>
      </c>
      <c r="G44" s="63">
        <f>MAX(0,SUMIF('14 Detailed Results'!$A$5:$A$35,A44,'14 Detailed Results'!$F$5:$F$35)-F44)</f>
        <v>0</v>
      </c>
      <c r="H44" s="63">
        <f>IF(OR('11 Optional Community'!$G$11="STAFF-TIME DATA REQUIRED",'11 Optional Community'!$G$11="CHOOSE STAFF-TIME METHOD"),"",IFERROR(F44*E44/SUM('11 Optional Community'!$I$25:$I$26),0))</f>
        <v>0</v>
      </c>
      <c r="I44" s="63">
        <f>IF(H44="","",IFERROR(G44*D44/SUM('11 Optional Community'!$F$25:$F$26),0))</f>
        <v>0</v>
      </c>
      <c r="J44" s="63">
        <f t="shared" si="4"/>
        <v>0</v>
      </c>
      <c r="K44" s="64" t="str">
        <f t="shared" si="5"/>
        <v/>
      </c>
      <c r="L44" s="9" t="str">
        <f>IF(SUM('11 Optional Community'!$F$25:$F$26)=0,"NOT USED",IF(OR('11 Optional Community'!$G$11="STAFF-TIME DATA REQUIRED",'11 Optional Community'!$G$11="CHOOSE STAFF-TIME METHOD"),"STAFF-TIME DATA REQUIRED",IF(D44=0,"NO CONTACTS","ESTIMATED")))</f>
        <v>NOT USED</v>
      </c>
      <c r="M44" s="9" t="s">
        <v>623</v>
      </c>
    </row>
    <row r="45" spans="1:13" ht="42" customHeight="1">
      <c r="A45" s="9" t="s">
        <v>129</v>
      </c>
      <c r="B45" s="9" t="s">
        <v>131</v>
      </c>
      <c r="C45" s="9" t="s">
        <v>489</v>
      </c>
      <c r="D45" s="12">
        <f>'11 Optional Community'!F26</f>
        <v>0</v>
      </c>
      <c r="E45" s="12" t="str">
        <f>'11 Optional Community'!I26</f>
        <v/>
      </c>
      <c r="F45" s="63">
        <f>SUMIF('16 Calculations'!$A$5:$A$34,A45,'16 Calculations'!$S$5:$S$34)+SUMIF('16 Calculations'!$A$5:$A$34,A45,'16 Calculations'!$T$5:$T$34)</f>
        <v>0</v>
      </c>
      <c r="G45" s="63">
        <f>MAX(0,SUMIF('14 Detailed Results'!$A$5:$A$35,A45,'14 Detailed Results'!$F$5:$F$35)-F45)</f>
        <v>0</v>
      </c>
      <c r="H45" s="63">
        <f>IF(OR('11 Optional Community'!$G$11="STAFF-TIME DATA REQUIRED",'11 Optional Community'!$G$11="CHOOSE STAFF-TIME METHOD"),"",IFERROR(F45*E45/SUM('11 Optional Community'!$I$25:$I$26),0))</f>
        <v>0</v>
      </c>
      <c r="I45" s="63">
        <f>IF(H45="","",IFERROR(G45*D45/SUM('11 Optional Community'!$F$25:$F$26),0))</f>
        <v>0</v>
      </c>
      <c r="J45" s="63">
        <f t="shared" si="4"/>
        <v>0</v>
      </c>
      <c r="K45" s="64" t="str">
        <f t="shared" si="5"/>
        <v/>
      </c>
      <c r="L45" s="9" t="str">
        <f>IF(SUM('11 Optional Community'!$F$25:$F$26)=0,"NOT USED",IF(OR('11 Optional Community'!$G$11="STAFF-TIME DATA REQUIRED",'11 Optional Community'!$G$11="CHOOSE STAFF-TIME METHOD"),"STAFF-TIME DATA REQUIRED",IF(D45=0,"NO CONTACTS","ESTIMATED")))</f>
        <v>NOT USED</v>
      </c>
      <c r="M45" s="9" t="s">
        <v>623</v>
      </c>
    </row>
    <row r="46" spans="1:13" ht="42" customHeight="1">
      <c r="A46" s="22" t="s">
        <v>132</v>
      </c>
      <c r="B46" s="22" t="s">
        <v>133</v>
      </c>
      <c r="C46" s="22" t="s">
        <v>486</v>
      </c>
      <c r="D46" s="29">
        <f>'11 Optional Community'!F27</f>
        <v>0</v>
      </c>
      <c r="E46" s="29" t="str">
        <f>'11 Optional Community'!I27</f>
        <v/>
      </c>
      <c r="F46" s="56">
        <f>SUMIF('16 Calculations'!$A$5:$A$34,A46,'16 Calculations'!$S$5:$S$34)+SUMIF('16 Calculations'!$A$5:$A$34,A46,'16 Calculations'!$T$5:$T$34)</f>
        <v>0</v>
      </c>
      <c r="G46" s="56">
        <f>MAX(0,SUMIF('14 Detailed Results'!$A$5:$A$35,A46,'14 Detailed Results'!$F$5:$F$35)-F46)</f>
        <v>0</v>
      </c>
      <c r="H46" s="56">
        <f>IF(OR('11 Optional Community'!$G$12="STAFF-TIME DATA REQUIRED",'11 Optional Community'!$G$12="CHOOSE STAFF-TIME METHOD"),"",IFERROR(F46*E46/SUM('11 Optional Community'!$I$27:$I$28),0))</f>
        <v>0</v>
      </c>
      <c r="I46" s="56">
        <f>IF(H46="","",IFERROR(G46*D46/SUM('11 Optional Community'!$F$27:$F$28),0))</f>
        <v>0</v>
      </c>
      <c r="J46" s="56">
        <f t="shared" si="4"/>
        <v>0</v>
      </c>
      <c r="K46" s="60" t="str">
        <f t="shared" si="5"/>
        <v/>
      </c>
      <c r="L46" s="22" t="str">
        <f>IF(SUM('11 Optional Community'!$F$27:$F$28)=0,"NOT USED",IF(OR('11 Optional Community'!$G$12="STAFF-TIME DATA REQUIRED",'11 Optional Community'!$G$12="CHOOSE STAFF-TIME METHOD"),"STAFF-TIME DATA REQUIRED",IF(D46=0,"NO CONTACTS","ESTIMATED")))</f>
        <v>NOT USED</v>
      </c>
      <c r="M46" s="22" t="s">
        <v>623</v>
      </c>
    </row>
    <row r="47" spans="1:13" ht="42" customHeight="1">
      <c r="A47" s="22" t="s">
        <v>132</v>
      </c>
      <c r="B47" s="22" t="s">
        <v>133</v>
      </c>
      <c r="C47" s="22" t="s">
        <v>489</v>
      </c>
      <c r="D47" s="29">
        <f>'11 Optional Community'!F28</f>
        <v>0</v>
      </c>
      <c r="E47" s="29" t="str">
        <f>'11 Optional Community'!I28</f>
        <v/>
      </c>
      <c r="F47" s="56">
        <f>SUMIF('16 Calculations'!$A$5:$A$34,A47,'16 Calculations'!$S$5:$S$34)+SUMIF('16 Calculations'!$A$5:$A$34,A47,'16 Calculations'!$T$5:$T$34)</f>
        <v>0</v>
      </c>
      <c r="G47" s="56">
        <f>MAX(0,SUMIF('14 Detailed Results'!$A$5:$A$35,A47,'14 Detailed Results'!$F$5:$F$35)-F47)</f>
        <v>0</v>
      </c>
      <c r="H47" s="56">
        <f>IF(OR('11 Optional Community'!$G$12="STAFF-TIME DATA REQUIRED",'11 Optional Community'!$G$12="CHOOSE STAFF-TIME METHOD"),"",IFERROR(F47*E47/SUM('11 Optional Community'!$I$27:$I$28),0))</f>
        <v>0</v>
      </c>
      <c r="I47" s="56">
        <f>IF(H47="","",IFERROR(G47*D47/SUM('11 Optional Community'!$F$27:$F$28),0))</f>
        <v>0</v>
      </c>
      <c r="J47" s="56">
        <f t="shared" si="4"/>
        <v>0</v>
      </c>
      <c r="K47" s="60" t="str">
        <f t="shared" si="5"/>
        <v/>
      </c>
      <c r="L47" s="22" t="str">
        <f>IF(SUM('11 Optional Community'!$F$27:$F$28)=0,"NOT USED",IF(OR('11 Optional Community'!$G$12="STAFF-TIME DATA REQUIRED",'11 Optional Community'!$G$12="CHOOSE STAFF-TIME METHOD"),"STAFF-TIME DATA REQUIRED",IF(D47=0,"NO CONTACTS","ESTIMATED")))</f>
        <v>NOT USED</v>
      </c>
      <c r="M47" s="22" t="s">
        <v>623</v>
      </c>
    </row>
    <row r="48" spans="1:13" ht="42" customHeight="1">
      <c r="A48" s="22" t="s">
        <v>134</v>
      </c>
      <c r="B48" s="22" t="s">
        <v>135</v>
      </c>
      <c r="C48" s="22" t="s">
        <v>486</v>
      </c>
      <c r="D48" s="29">
        <f>'11 Optional Community'!F29</f>
        <v>0</v>
      </c>
      <c r="E48" s="29" t="str">
        <f>'11 Optional Community'!I29</f>
        <v/>
      </c>
      <c r="F48" s="56">
        <f>SUMIF('16 Calculations'!$A$5:$A$34,A48,'16 Calculations'!$S$5:$S$34)+SUMIF('16 Calculations'!$A$5:$A$34,A48,'16 Calculations'!$T$5:$T$34)</f>
        <v>0</v>
      </c>
      <c r="G48" s="56">
        <f>MAX(0,SUMIF('14 Detailed Results'!$A$5:$A$35,A48,'14 Detailed Results'!$F$5:$F$35)-F48)</f>
        <v>0</v>
      </c>
      <c r="H48" s="56">
        <f>IF(OR('11 Optional Community'!$G$13="STAFF-TIME DATA REQUIRED",'11 Optional Community'!$G$13="CHOOSE STAFF-TIME METHOD"),"",IFERROR(F48*E48/SUM('11 Optional Community'!$I$29:$I$30),0))</f>
        <v>0</v>
      </c>
      <c r="I48" s="56">
        <f>IF(H48="","",IFERROR(G48*D48/SUM('11 Optional Community'!$F$29:$F$30),0))</f>
        <v>0</v>
      </c>
      <c r="J48" s="56">
        <f t="shared" si="4"/>
        <v>0</v>
      </c>
      <c r="K48" s="60" t="str">
        <f t="shared" si="5"/>
        <v/>
      </c>
      <c r="L48" s="22" t="str">
        <f>IF(SUM('11 Optional Community'!$F$29:$F$30)=0,"NOT USED",IF(OR('11 Optional Community'!$G$13="STAFF-TIME DATA REQUIRED",'11 Optional Community'!$G$13="CHOOSE STAFF-TIME METHOD"),"STAFF-TIME DATA REQUIRED",IF(D48=0,"NO CONTACTS","ESTIMATED")))</f>
        <v>NOT USED</v>
      </c>
      <c r="M48" s="22" t="s">
        <v>623</v>
      </c>
    </row>
    <row r="49" spans="1:13" ht="42" customHeight="1">
      <c r="A49" s="22" t="s">
        <v>134</v>
      </c>
      <c r="B49" s="22" t="s">
        <v>135</v>
      </c>
      <c r="C49" s="22" t="s">
        <v>489</v>
      </c>
      <c r="D49" s="29">
        <f>'11 Optional Community'!F30</f>
        <v>0</v>
      </c>
      <c r="E49" s="29" t="str">
        <f>'11 Optional Community'!I30</f>
        <v/>
      </c>
      <c r="F49" s="56">
        <f>SUMIF('16 Calculations'!$A$5:$A$34,A49,'16 Calculations'!$S$5:$S$34)+SUMIF('16 Calculations'!$A$5:$A$34,A49,'16 Calculations'!$T$5:$T$34)</f>
        <v>0</v>
      </c>
      <c r="G49" s="56">
        <f>MAX(0,SUMIF('14 Detailed Results'!$A$5:$A$35,A49,'14 Detailed Results'!$F$5:$F$35)-F49)</f>
        <v>0</v>
      </c>
      <c r="H49" s="56">
        <f>IF(OR('11 Optional Community'!$G$13="STAFF-TIME DATA REQUIRED",'11 Optional Community'!$G$13="CHOOSE STAFF-TIME METHOD"),"",IFERROR(F49*E49/SUM('11 Optional Community'!$I$29:$I$30),0))</f>
        <v>0</v>
      </c>
      <c r="I49" s="56">
        <f>IF(H49="","",IFERROR(G49*D49/SUM('11 Optional Community'!$F$29:$F$30),0))</f>
        <v>0</v>
      </c>
      <c r="J49" s="56">
        <f t="shared" si="4"/>
        <v>0</v>
      </c>
      <c r="K49" s="60" t="str">
        <f t="shared" si="5"/>
        <v/>
      </c>
      <c r="L49" s="22" t="str">
        <f>IF(SUM('11 Optional Community'!$F$29:$F$30)=0,"NOT USED",IF(OR('11 Optional Community'!$G$13="STAFF-TIME DATA REQUIRED",'11 Optional Community'!$G$13="CHOOSE STAFF-TIME METHOD"),"STAFF-TIME DATA REQUIRED",IF(D49=0,"NO CONTACTS","ESTIMATED")))</f>
        <v>NOT USED</v>
      </c>
      <c r="M49" s="22" t="s">
        <v>623</v>
      </c>
    </row>
  </sheetData>
  <sheetProtection sheet="1" objects="1" scenarios="1" formatColumns="0" formatRows="0"/>
  <mergeCells count="7">
    <mergeCell ref="A24:M24"/>
    <mergeCell ref="A36:M36"/>
    <mergeCell ref="A1:N1"/>
    <mergeCell ref="A2:N2"/>
    <mergeCell ref="A4:J4"/>
    <mergeCell ref="A10:N10"/>
    <mergeCell ref="A16:J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34"/>
  <sheetViews>
    <sheetView showGridLines="0" workbookViewId="0"/>
  </sheetViews>
  <sheetFormatPr baseColWidth="10" defaultColWidth="8.83203125" defaultRowHeight="14"/>
  <cols>
    <col min="1" max="1" width="17" customWidth="1"/>
    <col min="2" max="2" width="36" customWidth="1"/>
    <col min="3" max="18" width="15" customWidth="1"/>
  </cols>
  <sheetData>
    <row r="1" spans="1:22" ht="34" customHeight="1">
      <c r="A1" s="111" t="s">
        <v>624</v>
      </c>
      <c r="B1" s="111"/>
      <c r="C1" s="111"/>
      <c r="D1" s="111"/>
      <c r="E1" s="111"/>
      <c r="F1" s="111"/>
      <c r="G1" s="111"/>
      <c r="H1" s="111"/>
      <c r="I1" s="111"/>
      <c r="J1" s="111"/>
      <c r="K1" s="111"/>
      <c r="L1" s="111"/>
      <c r="M1" s="111"/>
      <c r="N1" s="111"/>
      <c r="O1" s="111"/>
      <c r="P1" s="111"/>
    </row>
    <row r="2" spans="1:22" ht="28" customHeight="1">
      <c r="A2" s="112" t="s">
        <v>625</v>
      </c>
      <c r="B2" s="112"/>
      <c r="C2" s="112"/>
      <c r="D2" s="112"/>
      <c r="E2" s="112"/>
      <c r="F2" s="112"/>
      <c r="G2" s="112"/>
      <c r="H2" s="112"/>
      <c r="I2" s="112"/>
      <c r="J2" s="112"/>
      <c r="K2" s="112"/>
      <c r="L2" s="112"/>
      <c r="M2" s="112"/>
      <c r="N2" s="112"/>
      <c r="O2" s="112"/>
      <c r="P2" s="112"/>
    </row>
    <row r="4" spans="1:22" ht="46" customHeight="1">
      <c r="A4" s="2" t="s">
        <v>108</v>
      </c>
      <c r="B4" s="2" t="s">
        <v>376</v>
      </c>
      <c r="C4" s="2" t="s">
        <v>559</v>
      </c>
      <c r="D4" s="2" t="s">
        <v>560</v>
      </c>
      <c r="E4" s="2" t="s">
        <v>228</v>
      </c>
      <c r="F4" s="2" t="s">
        <v>238</v>
      </c>
      <c r="G4" s="2" t="s">
        <v>243</v>
      </c>
      <c r="H4" s="2" t="s">
        <v>248</v>
      </c>
      <c r="I4" s="2" t="s">
        <v>253</v>
      </c>
      <c r="J4" s="2" t="s">
        <v>257</v>
      </c>
      <c r="K4" s="2" t="s">
        <v>261</v>
      </c>
      <c r="L4" s="2" t="s">
        <v>265</v>
      </c>
      <c r="M4" s="2" t="s">
        <v>270</v>
      </c>
      <c r="N4" s="2" t="s">
        <v>275</v>
      </c>
      <c r="O4" s="2" t="s">
        <v>280</v>
      </c>
      <c r="P4" s="2" t="s">
        <v>284</v>
      </c>
      <c r="Q4" s="2" t="s">
        <v>290</v>
      </c>
      <c r="R4" s="2" t="s">
        <v>626</v>
      </c>
      <c r="S4" s="36" t="s">
        <v>627</v>
      </c>
      <c r="T4" s="36" t="s">
        <v>628</v>
      </c>
      <c r="U4" s="36" t="s">
        <v>629</v>
      </c>
      <c r="V4" s="36" t="s">
        <v>630</v>
      </c>
    </row>
    <row r="5" spans="1:22">
      <c r="A5" s="3" t="s">
        <v>213</v>
      </c>
      <c r="B5" s="3" t="s">
        <v>631</v>
      </c>
      <c r="C5" s="55">
        <f>SUMIF('04 Service Costs'!$A$5:$A$31,A5,'04 Service Costs'!$L$5:$L$31)+SUMIF('05 Support &amp; Income'!$A$5:$A$41,A5,'05 Support &amp; Income'!$F$5:$F$41)</f>
        <v>0</v>
      </c>
      <c r="D5" s="55">
        <f>SUMIF('06 Shared Cost Pools'!$D$21:$D$260,A5,'06 Shared Cost Pools'!$F$21:$F$260)</f>
        <v>0</v>
      </c>
      <c r="E5" s="55">
        <f>IF('07 Support Drivers'!$D$5="Two-stage finance",SUMIF('05 Support &amp; Income'!$A$5:$A$41,E$4,'05 Support &amp; Income'!$F$5:$F$41)*IF(SUMIF('08 Allocation Data'!$A$5:$A$34,$A5,'08 Allocation Data'!$L$5:$L$34)&gt;0,SUMIF('08 Allocation Data'!$A$5:$A$34,$A5,'08 Allocation Data'!$L$5:$L$34),IFERROR((1-SUM('08 Allocation Data'!$L$5:$L$34))*C5/SUMIFS($C$5:$C$34,'08 Allocation Data'!$L$5:$L$34,0),0)),IFERROR(SUMIF('05 Support &amp; Income'!$A$5:$A$41,E$4,'05 Support &amp; Income'!$F$5:$F$41)*IF('07 Support Drivers'!$D$5="Headcount",SUMIF('08 Allocation Data'!$A$5:$A$34,$A5,'08 Allocation Data'!$D$5:$D$34),IF('07 Support Drivers'!$D$5="FTE",SUMIF('08 Allocation Data'!$A$5:$A$34,$A5,'08 Allocation Data'!$E$5:$E$34),IF('07 Support Drivers'!$D$5="Floor space",SUMIF('08 Allocation Data'!$A$5:$A$34,$A5,'08 Allocation Data'!$F$5:$F$34),IF('07 Support Drivers'!$D$5="Weighted floor space",SUMIF('08 Allocation Data'!$A$5:$A$34,$A5,'08 Allocation Data'!$I$5:$I$34),IF('07 Support Drivers'!$D$5="Cleaning hours",SUMIF('08 Allocation Data'!$A$5:$A$34,$A5,'08 Allocation Data'!$J$5:$J$34),IF('07 Support Drivers'!$D$5="Meals",SUMIF('08 Allocation Data'!$A$5:$A$34,$A5,'08 Allocation Data'!$K$5:$K$34),IF('07 Support Drivers'!$D$5="Direct costs",SUMIF('08 Allocation Data'!$A$5:$A$34,$A5,'08 Allocation Data'!$M$5:$M$34),0)))))))/'07 Support Drivers'!$G$5,0))</f>
        <v>0</v>
      </c>
      <c r="F5" s="55">
        <f>IF('07 Support Drivers'!$D$6="Two-stage finance",SUMIF('05 Support &amp; Income'!$A$5:$A$41,F$4,'05 Support &amp; Income'!$F$5:$F$41)*IF(SUMIF('08 Allocation Data'!$A$5:$A$34,$A5,'08 Allocation Data'!$L$5:$L$34)&gt;0,SUMIF('08 Allocation Data'!$A$5:$A$34,$A5,'08 Allocation Data'!$L$5:$L$34),IFERROR((1-SUM('08 Allocation Data'!$L$5:$L$34))*C5/SUMIFS($C$5:$C$34,'08 Allocation Data'!$L$5:$L$34,0),0)),IFERROR(SUMIF('05 Support &amp; Income'!$A$5:$A$41,F$4,'05 Support &amp; Income'!$F$5:$F$41)*IF('07 Support Drivers'!$D$6="Headcount",SUMIF('08 Allocation Data'!$A$5:$A$34,$A5,'08 Allocation Data'!$D$5:$D$34),IF('07 Support Drivers'!$D$6="FTE",SUMIF('08 Allocation Data'!$A$5:$A$34,$A5,'08 Allocation Data'!$E$5:$E$34),IF('07 Support Drivers'!$D$6="Floor space",SUMIF('08 Allocation Data'!$A$5:$A$34,$A5,'08 Allocation Data'!$F$5:$F$34),IF('07 Support Drivers'!$D$6="Weighted floor space",SUMIF('08 Allocation Data'!$A$5:$A$34,$A5,'08 Allocation Data'!$I$5:$I$34),IF('07 Support Drivers'!$D$6="Cleaning hours",SUMIF('08 Allocation Data'!$A$5:$A$34,$A5,'08 Allocation Data'!$J$5:$J$34),IF('07 Support Drivers'!$D$6="Meals",SUMIF('08 Allocation Data'!$A$5:$A$34,$A5,'08 Allocation Data'!$K$5:$K$34),IF('07 Support Drivers'!$D$6="Direct costs",SUMIF('08 Allocation Data'!$A$5:$A$34,$A5,'08 Allocation Data'!$M$5:$M$34),0)))))))/'07 Support Drivers'!$G$6,0))</f>
        <v>0</v>
      </c>
      <c r="G5" s="55">
        <f>IF('07 Support Drivers'!$D$7="Two-stage finance",SUMIF('05 Support &amp; Income'!$A$5:$A$41,G$4,'05 Support &amp; Income'!$F$5:$F$41)*IF(SUMIF('08 Allocation Data'!$A$5:$A$34,$A5,'08 Allocation Data'!$L$5:$L$34)&gt;0,SUMIF('08 Allocation Data'!$A$5:$A$34,$A5,'08 Allocation Data'!$L$5:$L$34),IFERROR((1-SUM('08 Allocation Data'!$L$5:$L$34))*C5/SUMIFS($C$5:$C$34,'08 Allocation Data'!$L$5:$L$34,0),0)),IFERROR(SUMIF('05 Support &amp; Income'!$A$5:$A$41,G$4,'05 Support &amp; Income'!$F$5:$F$41)*IF('07 Support Drivers'!$D$7="Headcount",SUMIF('08 Allocation Data'!$A$5:$A$34,$A5,'08 Allocation Data'!$D$5:$D$34),IF('07 Support Drivers'!$D$7="FTE",SUMIF('08 Allocation Data'!$A$5:$A$34,$A5,'08 Allocation Data'!$E$5:$E$34),IF('07 Support Drivers'!$D$7="Floor space",SUMIF('08 Allocation Data'!$A$5:$A$34,$A5,'08 Allocation Data'!$F$5:$F$34),IF('07 Support Drivers'!$D$7="Weighted floor space",SUMIF('08 Allocation Data'!$A$5:$A$34,$A5,'08 Allocation Data'!$I$5:$I$34),IF('07 Support Drivers'!$D$7="Cleaning hours",SUMIF('08 Allocation Data'!$A$5:$A$34,$A5,'08 Allocation Data'!$J$5:$J$34),IF('07 Support Drivers'!$D$7="Meals",SUMIF('08 Allocation Data'!$A$5:$A$34,$A5,'08 Allocation Data'!$K$5:$K$34),IF('07 Support Drivers'!$D$7="Direct costs",SUMIF('08 Allocation Data'!$A$5:$A$34,$A5,'08 Allocation Data'!$M$5:$M$34),0)))))))/'07 Support Drivers'!$G$7,0))</f>
        <v>0</v>
      </c>
      <c r="H5" s="55">
        <f>IF('07 Support Drivers'!$D$8="Two-stage finance",SUMIF('05 Support &amp; Income'!$A$5:$A$41,H$4,'05 Support &amp; Income'!$F$5:$F$41)*IF(SUMIF('08 Allocation Data'!$A$5:$A$34,$A5,'08 Allocation Data'!$L$5:$L$34)&gt;0,SUMIF('08 Allocation Data'!$A$5:$A$34,$A5,'08 Allocation Data'!$L$5:$L$34),IFERROR((1-SUM('08 Allocation Data'!$L$5:$L$34))*C5/SUMIFS($C$5:$C$34,'08 Allocation Data'!$L$5:$L$34,0),0)),IFERROR(SUMIF('05 Support &amp; Income'!$A$5:$A$41,H$4,'05 Support &amp; Income'!$F$5:$F$41)*IF('07 Support Drivers'!$D$8="Headcount",SUMIF('08 Allocation Data'!$A$5:$A$34,$A5,'08 Allocation Data'!$D$5:$D$34),IF('07 Support Drivers'!$D$8="FTE",SUMIF('08 Allocation Data'!$A$5:$A$34,$A5,'08 Allocation Data'!$E$5:$E$34),IF('07 Support Drivers'!$D$8="Floor space",SUMIF('08 Allocation Data'!$A$5:$A$34,$A5,'08 Allocation Data'!$F$5:$F$34),IF('07 Support Drivers'!$D$8="Weighted floor space",SUMIF('08 Allocation Data'!$A$5:$A$34,$A5,'08 Allocation Data'!$I$5:$I$34),IF('07 Support Drivers'!$D$8="Cleaning hours",SUMIF('08 Allocation Data'!$A$5:$A$34,$A5,'08 Allocation Data'!$J$5:$J$34),IF('07 Support Drivers'!$D$8="Meals",SUMIF('08 Allocation Data'!$A$5:$A$34,$A5,'08 Allocation Data'!$K$5:$K$34),IF('07 Support Drivers'!$D$8="Direct costs",SUMIF('08 Allocation Data'!$A$5:$A$34,$A5,'08 Allocation Data'!$M$5:$M$34),0)))))))/'07 Support Drivers'!$G$8,0))</f>
        <v>0</v>
      </c>
      <c r="I5" s="55">
        <f>IF('07 Support Drivers'!$D$9="Two-stage finance",SUMIF('05 Support &amp; Income'!$A$5:$A$41,I$4,'05 Support &amp; Income'!$F$5:$F$41)*IF(SUMIF('08 Allocation Data'!$A$5:$A$34,$A5,'08 Allocation Data'!$L$5:$L$34)&gt;0,SUMIF('08 Allocation Data'!$A$5:$A$34,$A5,'08 Allocation Data'!$L$5:$L$34),IFERROR((1-SUM('08 Allocation Data'!$L$5:$L$34))*C5/SUMIFS($C$5:$C$34,'08 Allocation Data'!$L$5:$L$34,0),0)),IFERROR(SUMIF('05 Support &amp; Income'!$A$5:$A$41,I$4,'05 Support &amp; Income'!$F$5:$F$41)*IF('07 Support Drivers'!$D$9="Headcount",SUMIF('08 Allocation Data'!$A$5:$A$34,$A5,'08 Allocation Data'!$D$5:$D$34),IF('07 Support Drivers'!$D$9="FTE",SUMIF('08 Allocation Data'!$A$5:$A$34,$A5,'08 Allocation Data'!$E$5:$E$34),IF('07 Support Drivers'!$D$9="Floor space",SUMIF('08 Allocation Data'!$A$5:$A$34,$A5,'08 Allocation Data'!$F$5:$F$34),IF('07 Support Drivers'!$D$9="Weighted floor space",SUMIF('08 Allocation Data'!$A$5:$A$34,$A5,'08 Allocation Data'!$I$5:$I$34),IF('07 Support Drivers'!$D$9="Cleaning hours",SUMIF('08 Allocation Data'!$A$5:$A$34,$A5,'08 Allocation Data'!$J$5:$J$34),IF('07 Support Drivers'!$D$9="Meals",SUMIF('08 Allocation Data'!$A$5:$A$34,$A5,'08 Allocation Data'!$K$5:$K$34),IF('07 Support Drivers'!$D$9="Direct costs",SUMIF('08 Allocation Data'!$A$5:$A$34,$A5,'08 Allocation Data'!$M$5:$M$34),0)))))))/'07 Support Drivers'!$G$9,0))</f>
        <v>0</v>
      </c>
      <c r="J5" s="55">
        <f>IF('07 Support Drivers'!$D$10="Two-stage finance",SUMIF('05 Support &amp; Income'!$A$5:$A$41,J$4,'05 Support &amp; Income'!$F$5:$F$41)*IF(SUMIF('08 Allocation Data'!$A$5:$A$34,$A5,'08 Allocation Data'!$L$5:$L$34)&gt;0,SUMIF('08 Allocation Data'!$A$5:$A$34,$A5,'08 Allocation Data'!$L$5:$L$34),IFERROR((1-SUM('08 Allocation Data'!$L$5:$L$34))*C5/SUMIFS($C$5:$C$34,'08 Allocation Data'!$L$5:$L$34,0),0)),IFERROR(SUMIF('05 Support &amp; Income'!$A$5:$A$41,J$4,'05 Support &amp; Income'!$F$5:$F$41)*IF('07 Support Drivers'!$D$10="Headcount",SUMIF('08 Allocation Data'!$A$5:$A$34,$A5,'08 Allocation Data'!$D$5:$D$34),IF('07 Support Drivers'!$D$10="FTE",SUMIF('08 Allocation Data'!$A$5:$A$34,$A5,'08 Allocation Data'!$E$5:$E$34),IF('07 Support Drivers'!$D$10="Floor space",SUMIF('08 Allocation Data'!$A$5:$A$34,$A5,'08 Allocation Data'!$F$5:$F$34),IF('07 Support Drivers'!$D$10="Weighted floor space",SUMIF('08 Allocation Data'!$A$5:$A$34,$A5,'08 Allocation Data'!$I$5:$I$34),IF('07 Support Drivers'!$D$10="Cleaning hours",SUMIF('08 Allocation Data'!$A$5:$A$34,$A5,'08 Allocation Data'!$J$5:$J$34),IF('07 Support Drivers'!$D$10="Meals",SUMIF('08 Allocation Data'!$A$5:$A$34,$A5,'08 Allocation Data'!$K$5:$K$34),IF('07 Support Drivers'!$D$10="Direct costs",SUMIF('08 Allocation Data'!$A$5:$A$34,$A5,'08 Allocation Data'!$M$5:$M$34),0)))))))/'07 Support Drivers'!$G$10,0))</f>
        <v>0</v>
      </c>
      <c r="K5" s="55">
        <f>IF('07 Support Drivers'!$D$11="Two-stage finance",SUMIF('05 Support &amp; Income'!$A$5:$A$41,K$4,'05 Support &amp; Income'!$F$5:$F$41)*IF(SUMIF('08 Allocation Data'!$A$5:$A$34,$A5,'08 Allocation Data'!$L$5:$L$34)&gt;0,SUMIF('08 Allocation Data'!$A$5:$A$34,$A5,'08 Allocation Data'!$L$5:$L$34),IFERROR((1-SUM('08 Allocation Data'!$L$5:$L$34))*C5/SUMIFS($C$5:$C$34,'08 Allocation Data'!$L$5:$L$34,0),0)),IFERROR(SUMIF('05 Support &amp; Income'!$A$5:$A$41,K$4,'05 Support &amp; Income'!$F$5:$F$41)*IF('07 Support Drivers'!$D$11="Headcount",SUMIF('08 Allocation Data'!$A$5:$A$34,$A5,'08 Allocation Data'!$D$5:$D$34),IF('07 Support Drivers'!$D$11="FTE",SUMIF('08 Allocation Data'!$A$5:$A$34,$A5,'08 Allocation Data'!$E$5:$E$34),IF('07 Support Drivers'!$D$11="Floor space",SUMIF('08 Allocation Data'!$A$5:$A$34,$A5,'08 Allocation Data'!$F$5:$F$34),IF('07 Support Drivers'!$D$11="Weighted floor space",SUMIF('08 Allocation Data'!$A$5:$A$34,$A5,'08 Allocation Data'!$I$5:$I$34),IF('07 Support Drivers'!$D$11="Cleaning hours",SUMIF('08 Allocation Data'!$A$5:$A$34,$A5,'08 Allocation Data'!$J$5:$J$34),IF('07 Support Drivers'!$D$11="Meals",SUMIF('08 Allocation Data'!$A$5:$A$34,$A5,'08 Allocation Data'!$K$5:$K$34),IF('07 Support Drivers'!$D$11="Direct costs",SUMIF('08 Allocation Data'!$A$5:$A$34,$A5,'08 Allocation Data'!$M$5:$M$34),0)))))))/'07 Support Drivers'!$G$11,0))</f>
        <v>0</v>
      </c>
      <c r="L5" s="55">
        <f>IF('07 Support Drivers'!$D$12="Two-stage finance",SUMIF('05 Support &amp; Income'!$A$5:$A$41,L$4,'05 Support &amp; Income'!$F$5:$F$41)*IF(SUMIF('08 Allocation Data'!$A$5:$A$34,$A5,'08 Allocation Data'!$L$5:$L$34)&gt;0,SUMIF('08 Allocation Data'!$A$5:$A$34,$A5,'08 Allocation Data'!$L$5:$L$34),IFERROR((1-SUM('08 Allocation Data'!$L$5:$L$34))*C5/SUMIFS($C$5:$C$34,'08 Allocation Data'!$L$5:$L$34,0),0)),IFERROR(SUMIF('05 Support &amp; Income'!$A$5:$A$41,L$4,'05 Support &amp; Income'!$F$5:$F$41)*IF('07 Support Drivers'!$D$12="Headcount",SUMIF('08 Allocation Data'!$A$5:$A$34,$A5,'08 Allocation Data'!$D$5:$D$34),IF('07 Support Drivers'!$D$12="FTE",SUMIF('08 Allocation Data'!$A$5:$A$34,$A5,'08 Allocation Data'!$E$5:$E$34),IF('07 Support Drivers'!$D$12="Floor space",SUMIF('08 Allocation Data'!$A$5:$A$34,$A5,'08 Allocation Data'!$F$5:$F$34),IF('07 Support Drivers'!$D$12="Weighted floor space",SUMIF('08 Allocation Data'!$A$5:$A$34,$A5,'08 Allocation Data'!$I$5:$I$34),IF('07 Support Drivers'!$D$12="Cleaning hours",SUMIF('08 Allocation Data'!$A$5:$A$34,$A5,'08 Allocation Data'!$J$5:$J$34),IF('07 Support Drivers'!$D$12="Meals",SUMIF('08 Allocation Data'!$A$5:$A$34,$A5,'08 Allocation Data'!$K$5:$K$34),IF('07 Support Drivers'!$D$12="Direct costs",SUMIF('08 Allocation Data'!$A$5:$A$34,$A5,'08 Allocation Data'!$M$5:$M$34),0)))))))/'07 Support Drivers'!$G$12,0))</f>
        <v>0</v>
      </c>
      <c r="M5" s="55">
        <f>IF('07 Support Drivers'!$D$13="Two-stage finance",SUMIF('05 Support &amp; Income'!$A$5:$A$41,M$4,'05 Support &amp; Income'!$F$5:$F$41)*IF(SUMIF('08 Allocation Data'!$A$5:$A$34,$A5,'08 Allocation Data'!$L$5:$L$34)&gt;0,SUMIF('08 Allocation Data'!$A$5:$A$34,$A5,'08 Allocation Data'!$L$5:$L$34),IFERROR((1-SUM('08 Allocation Data'!$L$5:$L$34))*C5/SUMIFS($C$5:$C$34,'08 Allocation Data'!$L$5:$L$34,0),0)),IFERROR(SUMIF('05 Support &amp; Income'!$A$5:$A$41,M$4,'05 Support &amp; Income'!$F$5:$F$41)*IF('07 Support Drivers'!$D$13="Headcount",SUMIF('08 Allocation Data'!$A$5:$A$34,$A5,'08 Allocation Data'!$D$5:$D$34),IF('07 Support Drivers'!$D$13="FTE",SUMIF('08 Allocation Data'!$A$5:$A$34,$A5,'08 Allocation Data'!$E$5:$E$34),IF('07 Support Drivers'!$D$13="Floor space",SUMIF('08 Allocation Data'!$A$5:$A$34,$A5,'08 Allocation Data'!$F$5:$F$34),IF('07 Support Drivers'!$D$13="Weighted floor space",SUMIF('08 Allocation Data'!$A$5:$A$34,$A5,'08 Allocation Data'!$I$5:$I$34),IF('07 Support Drivers'!$D$13="Cleaning hours",SUMIF('08 Allocation Data'!$A$5:$A$34,$A5,'08 Allocation Data'!$J$5:$J$34),IF('07 Support Drivers'!$D$13="Meals",SUMIF('08 Allocation Data'!$A$5:$A$34,$A5,'08 Allocation Data'!$K$5:$K$34),IF('07 Support Drivers'!$D$13="Direct costs",SUMIF('08 Allocation Data'!$A$5:$A$34,$A5,'08 Allocation Data'!$M$5:$M$34),0)))))))/'07 Support Drivers'!$G$13,0))</f>
        <v>0</v>
      </c>
      <c r="N5" s="55">
        <f>IF('07 Support Drivers'!$D$14="Two-stage finance",SUMIF('05 Support &amp; Income'!$A$5:$A$41,N$4,'05 Support &amp; Income'!$F$5:$F$41)*IF(SUMIF('08 Allocation Data'!$A$5:$A$34,$A5,'08 Allocation Data'!$L$5:$L$34)&gt;0,SUMIF('08 Allocation Data'!$A$5:$A$34,$A5,'08 Allocation Data'!$L$5:$L$34),IFERROR((1-SUM('08 Allocation Data'!$L$5:$L$34))*C5/SUMIFS($C$5:$C$34,'08 Allocation Data'!$L$5:$L$34,0),0)),IFERROR(SUMIF('05 Support &amp; Income'!$A$5:$A$41,N$4,'05 Support &amp; Income'!$F$5:$F$41)*IF('07 Support Drivers'!$D$14="Headcount",SUMIF('08 Allocation Data'!$A$5:$A$34,$A5,'08 Allocation Data'!$D$5:$D$34),IF('07 Support Drivers'!$D$14="FTE",SUMIF('08 Allocation Data'!$A$5:$A$34,$A5,'08 Allocation Data'!$E$5:$E$34),IF('07 Support Drivers'!$D$14="Floor space",SUMIF('08 Allocation Data'!$A$5:$A$34,$A5,'08 Allocation Data'!$F$5:$F$34),IF('07 Support Drivers'!$D$14="Weighted floor space",SUMIF('08 Allocation Data'!$A$5:$A$34,$A5,'08 Allocation Data'!$I$5:$I$34),IF('07 Support Drivers'!$D$14="Cleaning hours",SUMIF('08 Allocation Data'!$A$5:$A$34,$A5,'08 Allocation Data'!$J$5:$J$34),IF('07 Support Drivers'!$D$14="Meals",SUMIF('08 Allocation Data'!$A$5:$A$34,$A5,'08 Allocation Data'!$K$5:$K$34),IF('07 Support Drivers'!$D$14="Direct costs",SUMIF('08 Allocation Data'!$A$5:$A$34,$A5,'08 Allocation Data'!$M$5:$M$34),0)))))))/'07 Support Drivers'!$G$14,0))</f>
        <v>0</v>
      </c>
      <c r="O5" s="55">
        <f>IF('07 Support Drivers'!$D$15="Two-stage finance",SUMIF('05 Support &amp; Income'!$A$5:$A$41,O$4,'05 Support &amp; Income'!$F$5:$F$41)*IF(SUMIF('08 Allocation Data'!$A$5:$A$34,$A5,'08 Allocation Data'!$L$5:$L$34)&gt;0,SUMIF('08 Allocation Data'!$A$5:$A$34,$A5,'08 Allocation Data'!$L$5:$L$34),IFERROR((1-SUM('08 Allocation Data'!$L$5:$L$34))*C5/SUMIFS($C$5:$C$34,'08 Allocation Data'!$L$5:$L$34,0),0)),IFERROR(SUMIF('05 Support &amp; Income'!$A$5:$A$41,O$4,'05 Support &amp; Income'!$F$5:$F$41)*IF('07 Support Drivers'!$D$15="Headcount",SUMIF('08 Allocation Data'!$A$5:$A$34,$A5,'08 Allocation Data'!$D$5:$D$34),IF('07 Support Drivers'!$D$15="FTE",SUMIF('08 Allocation Data'!$A$5:$A$34,$A5,'08 Allocation Data'!$E$5:$E$34),IF('07 Support Drivers'!$D$15="Floor space",SUMIF('08 Allocation Data'!$A$5:$A$34,$A5,'08 Allocation Data'!$F$5:$F$34),IF('07 Support Drivers'!$D$15="Weighted floor space",SUMIF('08 Allocation Data'!$A$5:$A$34,$A5,'08 Allocation Data'!$I$5:$I$34),IF('07 Support Drivers'!$D$15="Cleaning hours",SUMIF('08 Allocation Data'!$A$5:$A$34,$A5,'08 Allocation Data'!$J$5:$J$34),IF('07 Support Drivers'!$D$15="Meals",SUMIF('08 Allocation Data'!$A$5:$A$34,$A5,'08 Allocation Data'!$K$5:$K$34),IF('07 Support Drivers'!$D$15="Direct costs",SUMIF('08 Allocation Data'!$A$5:$A$34,$A5,'08 Allocation Data'!$M$5:$M$34),0)))))))/'07 Support Drivers'!$G$15,0))</f>
        <v>0</v>
      </c>
      <c r="P5" s="55">
        <f>IF('07 Support Drivers'!$D$16="Two-stage finance",SUMIF('05 Support &amp; Income'!$A$5:$A$41,P$4,'05 Support &amp; Income'!$F$5:$F$41)*IF(SUMIF('08 Allocation Data'!$A$5:$A$34,$A5,'08 Allocation Data'!$L$5:$L$34)&gt;0,SUMIF('08 Allocation Data'!$A$5:$A$34,$A5,'08 Allocation Data'!$L$5:$L$34),IFERROR((1-SUM('08 Allocation Data'!$L$5:$L$34))*C5/SUMIFS($C$5:$C$34,'08 Allocation Data'!$L$5:$L$34,0),0)),IFERROR(SUMIF('05 Support &amp; Income'!$A$5:$A$41,P$4,'05 Support &amp; Income'!$F$5:$F$41)*IF('07 Support Drivers'!$D$16="Headcount",SUMIF('08 Allocation Data'!$A$5:$A$34,$A5,'08 Allocation Data'!$D$5:$D$34),IF('07 Support Drivers'!$D$16="FTE",SUMIF('08 Allocation Data'!$A$5:$A$34,$A5,'08 Allocation Data'!$E$5:$E$34),IF('07 Support Drivers'!$D$16="Floor space",SUMIF('08 Allocation Data'!$A$5:$A$34,$A5,'08 Allocation Data'!$F$5:$F$34),IF('07 Support Drivers'!$D$16="Weighted floor space",SUMIF('08 Allocation Data'!$A$5:$A$34,$A5,'08 Allocation Data'!$I$5:$I$34),IF('07 Support Drivers'!$D$16="Cleaning hours",SUMIF('08 Allocation Data'!$A$5:$A$34,$A5,'08 Allocation Data'!$J$5:$J$34),IF('07 Support Drivers'!$D$16="Meals",SUMIF('08 Allocation Data'!$A$5:$A$34,$A5,'08 Allocation Data'!$K$5:$K$34),IF('07 Support Drivers'!$D$16="Direct costs",SUMIF('08 Allocation Data'!$A$5:$A$34,$A5,'08 Allocation Data'!$M$5:$M$34),0)))))))/'07 Support Drivers'!$G$16,0))</f>
        <v>0</v>
      </c>
      <c r="Q5" s="55">
        <f>IF('07 Support Drivers'!$D$17="Two-stage finance",SUMIF('05 Support &amp; Income'!$A$5:$A$41,Q$4,'05 Support &amp; Income'!$F$5:$F$41)*IF(SUMIF('08 Allocation Data'!$A$5:$A$34,$A5,'08 Allocation Data'!$L$5:$L$34)&gt;0,SUMIF('08 Allocation Data'!$A$5:$A$34,$A5,'08 Allocation Data'!$L$5:$L$34),IFERROR((1-SUM('08 Allocation Data'!$L$5:$L$34))*C5/SUMIFS($C$5:$C$34,'08 Allocation Data'!$L$5:$L$34,0),0)),IFERROR(SUMIF('05 Support &amp; Income'!$A$5:$A$41,Q$4,'05 Support &amp; Income'!$F$5:$F$41)*IF('07 Support Drivers'!$D$17="Headcount",SUMIF('08 Allocation Data'!$A$5:$A$34,$A5,'08 Allocation Data'!$D$5:$D$34),IF('07 Support Drivers'!$D$17="FTE",SUMIF('08 Allocation Data'!$A$5:$A$34,$A5,'08 Allocation Data'!$E$5:$E$34),IF('07 Support Drivers'!$D$17="Floor space",SUMIF('08 Allocation Data'!$A$5:$A$34,$A5,'08 Allocation Data'!$F$5:$F$34),IF('07 Support Drivers'!$D$17="Weighted floor space",SUMIF('08 Allocation Data'!$A$5:$A$34,$A5,'08 Allocation Data'!$I$5:$I$34),IF('07 Support Drivers'!$D$17="Cleaning hours",SUMIF('08 Allocation Data'!$A$5:$A$34,$A5,'08 Allocation Data'!$J$5:$J$34),IF('07 Support Drivers'!$D$17="Meals",SUMIF('08 Allocation Data'!$A$5:$A$34,$A5,'08 Allocation Data'!$K$5:$K$34),IF('07 Support Drivers'!$D$17="Direct costs",SUMIF('08 Allocation Data'!$A$5:$A$34,$A5,'08 Allocation Data'!$M$5:$M$34),0)))))))/'07 Support Drivers'!$G$17,0))</f>
        <v>0</v>
      </c>
      <c r="R5" s="48">
        <f t="shared" ref="R5:R34" si="0">SUM(C5:Q5)</f>
        <v>0</v>
      </c>
      <c r="S5" s="48">
        <f>SUMIF('04 Service Costs'!$A$5:$A$31,A5,'04 Service Costs'!$M$5:$M$31)+SUMIF('06 Shared Cost Pools'!$D$21:$D$260,A5,'06 Shared Cost Pools'!$I$21:$I$260)</f>
        <v>0</v>
      </c>
      <c r="T5" s="48">
        <f>SUMIF('04 Service Costs'!$A$5:$A$31,A5,'04 Service Costs'!$N$5:$N$31)+SUMIF('06 Shared Cost Pools'!$D$21:$D$260,A5,'06 Shared Cost Pools'!$J$21:$J$260)</f>
        <v>0</v>
      </c>
      <c r="U5" s="48">
        <f>SUMIF('04 Service Costs'!$A$5:$A$31,A5,'04 Service Costs'!$O$5:$O$31)+SUMIF('06 Shared Cost Pools'!$D$21:$D$260,A5,'06 Shared Cost Pools'!$K$21:$K$260)</f>
        <v>0</v>
      </c>
      <c r="V5" s="48">
        <f t="shared" ref="V5:V34" si="1">IF(LEFT(A5,3)="IG_",0,C5+D5-SUM(S5:U5))</f>
        <v>0</v>
      </c>
    </row>
    <row r="6" spans="1:22">
      <c r="A6" s="3" t="s">
        <v>214</v>
      </c>
      <c r="B6" s="3" t="s">
        <v>632</v>
      </c>
      <c r="C6" s="55">
        <f>SUMIF('04 Service Costs'!$A$5:$A$31,A6,'04 Service Costs'!$L$5:$L$31)+SUMIF('05 Support &amp; Income'!$A$5:$A$41,A6,'05 Support &amp; Income'!$F$5:$F$41)</f>
        <v>0</v>
      </c>
      <c r="D6" s="55">
        <f>SUMIF('06 Shared Cost Pools'!$D$21:$D$260,A6,'06 Shared Cost Pools'!$F$21:$F$260)</f>
        <v>0</v>
      </c>
      <c r="E6" s="55">
        <f>IF('07 Support Drivers'!$D$5="Two-stage finance",SUMIF('05 Support &amp; Income'!$A$5:$A$41,E$4,'05 Support &amp; Income'!$F$5:$F$41)*IF(SUMIF('08 Allocation Data'!$A$5:$A$34,$A6,'08 Allocation Data'!$L$5:$L$34)&gt;0,SUMIF('08 Allocation Data'!$A$5:$A$34,$A6,'08 Allocation Data'!$L$5:$L$34),IFERROR((1-SUM('08 Allocation Data'!$L$5:$L$34))*C6/SUMIFS($C$5:$C$34,'08 Allocation Data'!$L$5:$L$34,0),0)),IFERROR(SUMIF('05 Support &amp; Income'!$A$5:$A$41,E$4,'05 Support &amp; Income'!$F$5:$F$41)*IF('07 Support Drivers'!$D$5="Headcount",SUMIF('08 Allocation Data'!$A$5:$A$34,$A6,'08 Allocation Data'!$D$5:$D$34),IF('07 Support Drivers'!$D$5="FTE",SUMIF('08 Allocation Data'!$A$5:$A$34,$A6,'08 Allocation Data'!$E$5:$E$34),IF('07 Support Drivers'!$D$5="Floor space",SUMIF('08 Allocation Data'!$A$5:$A$34,$A6,'08 Allocation Data'!$F$5:$F$34),IF('07 Support Drivers'!$D$5="Weighted floor space",SUMIF('08 Allocation Data'!$A$5:$A$34,$A6,'08 Allocation Data'!$I$5:$I$34),IF('07 Support Drivers'!$D$5="Cleaning hours",SUMIF('08 Allocation Data'!$A$5:$A$34,$A6,'08 Allocation Data'!$J$5:$J$34),IF('07 Support Drivers'!$D$5="Meals",SUMIF('08 Allocation Data'!$A$5:$A$34,$A6,'08 Allocation Data'!$K$5:$K$34),IF('07 Support Drivers'!$D$5="Direct costs",SUMIF('08 Allocation Data'!$A$5:$A$34,$A6,'08 Allocation Data'!$M$5:$M$34),0)))))))/'07 Support Drivers'!$G$5,0))</f>
        <v>0</v>
      </c>
      <c r="F6" s="55">
        <f>IF('07 Support Drivers'!$D$6="Two-stage finance",SUMIF('05 Support &amp; Income'!$A$5:$A$41,F$4,'05 Support &amp; Income'!$F$5:$F$41)*IF(SUMIF('08 Allocation Data'!$A$5:$A$34,$A6,'08 Allocation Data'!$L$5:$L$34)&gt;0,SUMIF('08 Allocation Data'!$A$5:$A$34,$A6,'08 Allocation Data'!$L$5:$L$34),IFERROR((1-SUM('08 Allocation Data'!$L$5:$L$34))*C6/SUMIFS($C$5:$C$34,'08 Allocation Data'!$L$5:$L$34,0),0)),IFERROR(SUMIF('05 Support &amp; Income'!$A$5:$A$41,F$4,'05 Support &amp; Income'!$F$5:$F$41)*IF('07 Support Drivers'!$D$6="Headcount",SUMIF('08 Allocation Data'!$A$5:$A$34,$A6,'08 Allocation Data'!$D$5:$D$34),IF('07 Support Drivers'!$D$6="FTE",SUMIF('08 Allocation Data'!$A$5:$A$34,$A6,'08 Allocation Data'!$E$5:$E$34),IF('07 Support Drivers'!$D$6="Floor space",SUMIF('08 Allocation Data'!$A$5:$A$34,$A6,'08 Allocation Data'!$F$5:$F$34),IF('07 Support Drivers'!$D$6="Weighted floor space",SUMIF('08 Allocation Data'!$A$5:$A$34,$A6,'08 Allocation Data'!$I$5:$I$34),IF('07 Support Drivers'!$D$6="Cleaning hours",SUMIF('08 Allocation Data'!$A$5:$A$34,$A6,'08 Allocation Data'!$J$5:$J$34),IF('07 Support Drivers'!$D$6="Meals",SUMIF('08 Allocation Data'!$A$5:$A$34,$A6,'08 Allocation Data'!$K$5:$K$34),IF('07 Support Drivers'!$D$6="Direct costs",SUMIF('08 Allocation Data'!$A$5:$A$34,$A6,'08 Allocation Data'!$M$5:$M$34),0)))))))/'07 Support Drivers'!$G$6,0))</f>
        <v>0</v>
      </c>
      <c r="G6" s="55">
        <f>IF('07 Support Drivers'!$D$7="Two-stage finance",SUMIF('05 Support &amp; Income'!$A$5:$A$41,G$4,'05 Support &amp; Income'!$F$5:$F$41)*IF(SUMIF('08 Allocation Data'!$A$5:$A$34,$A6,'08 Allocation Data'!$L$5:$L$34)&gt;0,SUMIF('08 Allocation Data'!$A$5:$A$34,$A6,'08 Allocation Data'!$L$5:$L$34),IFERROR((1-SUM('08 Allocation Data'!$L$5:$L$34))*C6/SUMIFS($C$5:$C$34,'08 Allocation Data'!$L$5:$L$34,0),0)),IFERROR(SUMIF('05 Support &amp; Income'!$A$5:$A$41,G$4,'05 Support &amp; Income'!$F$5:$F$41)*IF('07 Support Drivers'!$D$7="Headcount",SUMIF('08 Allocation Data'!$A$5:$A$34,$A6,'08 Allocation Data'!$D$5:$D$34),IF('07 Support Drivers'!$D$7="FTE",SUMIF('08 Allocation Data'!$A$5:$A$34,$A6,'08 Allocation Data'!$E$5:$E$34),IF('07 Support Drivers'!$D$7="Floor space",SUMIF('08 Allocation Data'!$A$5:$A$34,$A6,'08 Allocation Data'!$F$5:$F$34),IF('07 Support Drivers'!$D$7="Weighted floor space",SUMIF('08 Allocation Data'!$A$5:$A$34,$A6,'08 Allocation Data'!$I$5:$I$34),IF('07 Support Drivers'!$D$7="Cleaning hours",SUMIF('08 Allocation Data'!$A$5:$A$34,$A6,'08 Allocation Data'!$J$5:$J$34),IF('07 Support Drivers'!$D$7="Meals",SUMIF('08 Allocation Data'!$A$5:$A$34,$A6,'08 Allocation Data'!$K$5:$K$34),IF('07 Support Drivers'!$D$7="Direct costs",SUMIF('08 Allocation Data'!$A$5:$A$34,$A6,'08 Allocation Data'!$M$5:$M$34),0)))))))/'07 Support Drivers'!$G$7,0))</f>
        <v>0</v>
      </c>
      <c r="H6" s="55">
        <f>IF('07 Support Drivers'!$D$8="Two-stage finance",SUMIF('05 Support &amp; Income'!$A$5:$A$41,H$4,'05 Support &amp; Income'!$F$5:$F$41)*IF(SUMIF('08 Allocation Data'!$A$5:$A$34,$A6,'08 Allocation Data'!$L$5:$L$34)&gt;0,SUMIF('08 Allocation Data'!$A$5:$A$34,$A6,'08 Allocation Data'!$L$5:$L$34),IFERROR((1-SUM('08 Allocation Data'!$L$5:$L$34))*C6/SUMIFS($C$5:$C$34,'08 Allocation Data'!$L$5:$L$34,0),0)),IFERROR(SUMIF('05 Support &amp; Income'!$A$5:$A$41,H$4,'05 Support &amp; Income'!$F$5:$F$41)*IF('07 Support Drivers'!$D$8="Headcount",SUMIF('08 Allocation Data'!$A$5:$A$34,$A6,'08 Allocation Data'!$D$5:$D$34),IF('07 Support Drivers'!$D$8="FTE",SUMIF('08 Allocation Data'!$A$5:$A$34,$A6,'08 Allocation Data'!$E$5:$E$34),IF('07 Support Drivers'!$D$8="Floor space",SUMIF('08 Allocation Data'!$A$5:$A$34,$A6,'08 Allocation Data'!$F$5:$F$34),IF('07 Support Drivers'!$D$8="Weighted floor space",SUMIF('08 Allocation Data'!$A$5:$A$34,$A6,'08 Allocation Data'!$I$5:$I$34),IF('07 Support Drivers'!$D$8="Cleaning hours",SUMIF('08 Allocation Data'!$A$5:$A$34,$A6,'08 Allocation Data'!$J$5:$J$34),IF('07 Support Drivers'!$D$8="Meals",SUMIF('08 Allocation Data'!$A$5:$A$34,$A6,'08 Allocation Data'!$K$5:$K$34),IF('07 Support Drivers'!$D$8="Direct costs",SUMIF('08 Allocation Data'!$A$5:$A$34,$A6,'08 Allocation Data'!$M$5:$M$34),0)))))))/'07 Support Drivers'!$G$8,0))</f>
        <v>0</v>
      </c>
      <c r="I6" s="55">
        <f>IF('07 Support Drivers'!$D$9="Two-stage finance",SUMIF('05 Support &amp; Income'!$A$5:$A$41,I$4,'05 Support &amp; Income'!$F$5:$F$41)*IF(SUMIF('08 Allocation Data'!$A$5:$A$34,$A6,'08 Allocation Data'!$L$5:$L$34)&gt;0,SUMIF('08 Allocation Data'!$A$5:$A$34,$A6,'08 Allocation Data'!$L$5:$L$34),IFERROR((1-SUM('08 Allocation Data'!$L$5:$L$34))*C6/SUMIFS($C$5:$C$34,'08 Allocation Data'!$L$5:$L$34,0),0)),IFERROR(SUMIF('05 Support &amp; Income'!$A$5:$A$41,I$4,'05 Support &amp; Income'!$F$5:$F$41)*IF('07 Support Drivers'!$D$9="Headcount",SUMIF('08 Allocation Data'!$A$5:$A$34,$A6,'08 Allocation Data'!$D$5:$D$34),IF('07 Support Drivers'!$D$9="FTE",SUMIF('08 Allocation Data'!$A$5:$A$34,$A6,'08 Allocation Data'!$E$5:$E$34),IF('07 Support Drivers'!$D$9="Floor space",SUMIF('08 Allocation Data'!$A$5:$A$34,$A6,'08 Allocation Data'!$F$5:$F$34),IF('07 Support Drivers'!$D$9="Weighted floor space",SUMIF('08 Allocation Data'!$A$5:$A$34,$A6,'08 Allocation Data'!$I$5:$I$34),IF('07 Support Drivers'!$D$9="Cleaning hours",SUMIF('08 Allocation Data'!$A$5:$A$34,$A6,'08 Allocation Data'!$J$5:$J$34),IF('07 Support Drivers'!$D$9="Meals",SUMIF('08 Allocation Data'!$A$5:$A$34,$A6,'08 Allocation Data'!$K$5:$K$34),IF('07 Support Drivers'!$D$9="Direct costs",SUMIF('08 Allocation Data'!$A$5:$A$34,$A6,'08 Allocation Data'!$M$5:$M$34),0)))))))/'07 Support Drivers'!$G$9,0))</f>
        <v>0</v>
      </c>
      <c r="J6" s="55">
        <f>IF('07 Support Drivers'!$D$10="Two-stage finance",SUMIF('05 Support &amp; Income'!$A$5:$A$41,J$4,'05 Support &amp; Income'!$F$5:$F$41)*IF(SUMIF('08 Allocation Data'!$A$5:$A$34,$A6,'08 Allocation Data'!$L$5:$L$34)&gt;0,SUMIF('08 Allocation Data'!$A$5:$A$34,$A6,'08 Allocation Data'!$L$5:$L$34),IFERROR((1-SUM('08 Allocation Data'!$L$5:$L$34))*C6/SUMIFS($C$5:$C$34,'08 Allocation Data'!$L$5:$L$34,0),0)),IFERROR(SUMIF('05 Support &amp; Income'!$A$5:$A$41,J$4,'05 Support &amp; Income'!$F$5:$F$41)*IF('07 Support Drivers'!$D$10="Headcount",SUMIF('08 Allocation Data'!$A$5:$A$34,$A6,'08 Allocation Data'!$D$5:$D$34),IF('07 Support Drivers'!$D$10="FTE",SUMIF('08 Allocation Data'!$A$5:$A$34,$A6,'08 Allocation Data'!$E$5:$E$34),IF('07 Support Drivers'!$D$10="Floor space",SUMIF('08 Allocation Data'!$A$5:$A$34,$A6,'08 Allocation Data'!$F$5:$F$34),IF('07 Support Drivers'!$D$10="Weighted floor space",SUMIF('08 Allocation Data'!$A$5:$A$34,$A6,'08 Allocation Data'!$I$5:$I$34),IF('07 Support Drivers'!$D$10="Cleaning hours",SUMIF('08 Allocation Data'!$A$5:$A$34,$A6,'08 Allocation Data'!$J$5:$J$34),IF('07 Support Drivers'!$D$10="Meals",SUMIF('08 Allocation Data'!$A$5:$A$34,$A6,'08 Allocation Data'!$K$5:$K$34),IF('07 Support Drivers'!$D$10="Direct costs",SUMIF('08 Allocation Data'!$A$5:$A$34,$A6,'08 Allocation Data'!$M$5:$M$34),0)))))))/'07 Support Drivers'!$G$10,0))</f>
        <v>0</v>
      </c>
      <c r="K6" s="55">
        <f>IF('07 Support Drivers'!$D$11="Two-stage finance",SUMIF('05 Support &amp; Income'!$A$5:$A$41,K$4,'05 Support &amp; Income'!$F$5:$F$41)*IF(SUMIF('08 Allocation Data'!$A$5:$A$34,$A6,'08 Allocation Data'!$L$5:$L$34)&gt;0,SUMIF('08 Allocation Data'!$A$5:$A$34,$A6,'08 Allocation Data'!$L$5:$L$34),IFERROR((1-SUM('08 Allocation Data'!$L$5:$L$34))*C6/SUMIFS($C$5:$C$34,'08 Allocation Data'!$L$5:$L$34,0),0)),IFERROR(SUMIF('05 Support &amp; Income'!$A$5:$A$41,K$4,'05 Support &amp; Income'!$F$5:$F$41)*IF('07 Support Drivers'!$D$11="Headcount",SUMIF('08 Allocation Data'!$A$5:$A$34,$A6,'08 Allocation Data'!$D$5:$D$34),IF('07 Support Drivers'!$D$11="FTE",SUMIF('08 Allocation Data'!$A$5:$A$34,$A6,'08 Allocation Data'!$E$5:$E$34),IF('07 Support Drivers'!$D$11="Floor space",SUMIF('08 Allocation Data'!$A$5:$A$34,$A6,'08 Allocation Data'!$F$5:$F$34),IF('07 Support Drivers'!$D$11="Weighted floor space",SUMIF('08 Allocation Data'!$A$5:$A$34,$A6,'08 Allocation Data'!$I$5:$I$34),IF('07 Support Drivers'!$D$11="Cleaning hours",SUMIF('08 Allocation Data'!$A$5:$A$34,$A6,'08 Allocation Data'!$J$5:$J$34),IF('07 Support Drivers'!$D$11="Meals",SUMIF('08 Allocation Data'!$A$5:$A$34,$A6,'08 Allocation Data'!$K$5:$K$34),IF('07 Support Drivers'!$D$11="Direct costs",SUMIF('08 Allocation Data'!$A$5:$A$34,$A6,'08 Allocation Data'!$M$5:$M$34),0)))))))/'07 Support Drivers'!$G$11,0))</f>
        <v>0</v>
      </c>
      <c r="L6" s="55">
        <f>IF('07 Support Drivers'!$D$12="Two-stage finance",SUMIF('05 Support &amp; Income'!$A$5:$A$41,L$4,'05 Support &amp; Income'!$F$5:$F$41)*IF(SUMIF('08 Allocation Data'!$A$5:$A$34,$A6,'08 Allocation Data'!$L$5:$L$34)&gt;0,SUMIF('08 Allocation Data'!$A$5:$A$34,$A6,'08 Allocation Data'!$L$5:$L$34),IFERROR((1-SUM('08 Allocation Data'!$L$5:$L$34))*C6/SUMIFS($C$5:$C$34,'08 Allocation Data'!$L$5:$L$34,0),0)),IFERROR(SUMIF('05 Support &amp; Income'!$A$5:$A$41,L$4,'05 Support &amp; Income'!$F$5:$F$41)*IF('07 Support Drivers'!$D$12="Headcount",SUMIF('08 Allocation Data'!$A$5:$A$34,$A6,'08 Allocation Data'!$D$5:$D$34),IF('07 Support Drivers'!$D$12="FTE",SUMIF('08 Allocation Data'!$A$5:$A$34,$A6,'08 Allocation Data'!$E$5:$E$34),IF('07 Support Drivers'!$D$12="Floor space",SUMIF('08 Allocation Data'!$A$5:$A$34,$A6,'08 Allocation Data'!$F$5:$F$34),IF('07 Support Drivers'!$D$12="Weighted floor space",SUMIF('08 Allocation Data'!$A$5:$A$34,$A6,'08 Allocation Data'!$I$5:$I$34),IF('07 Support Drivers'!$D$12="Cleaning hours",SUMIF('08 Allocation Data'!$A$5:$A$34,$A6,'08 Allocation Data'!$J$5:$J$34),IF('07 Support Drivers'!$D$12="Meals",SUMIF('08 Allocation Data'!$A$5:$A$34,$A6,'08 Allocation Data'!$K$5:$K$34),IF('07 Support Drivers'!$D$12="Direct costs",SUMIF('08 Allocation Data'!$A$5:$A$34,$A6,'08 Allocation Data'!$M$5:$M$34),0)))))))/'07 Support Drivers'!$G$12,0))</f>
        <v>0</v>
      </c>
      <c r="M6" s="55">
        <f>IF('07 Support Drivers'!$D$13="Two-stage finance",SUMIF('05 Support &amp; Income'!$A$5:$A$41,M$4,'05 Support &amp; Income'!$F$5:$F$41)*IF(SUMIF('08 Allocation Data'!$A$5:$A$34,$A6,'08 Allocation Data'!$L$5:$L$34)&gt;0,SUMIF('08 Allocation Data'!$A$5:$A$34,$A6,'08 Allocation Data'!$L$5:$L$34),IFERROR((1-SUM('08 Allocation Data'!$L$5:$L$34))*C6/SUMIFS($C$5:$C$34,'08 Allocation Data'!$L$5:$L$34,0),0)),IFERROR(SUMIF('05 Support &amp; Income'!$A$5:$A$41,M$4,'05 Support &amp; Income'!$F$5:$F$41)*IF('07 Support Drivers'!$D$13="Headcount",SUMIF('08 Allocation Data'!$A$5:$A$34,$A6,'08 Allocation Data'!$D$5:$D$34),IF('07 Support Drivers'!$D$13="FTE",SUMIF('08 Allocation Data'!$A$5:$A$34,$A6,'08 Allocation Data'!$E$5:$E$34),IF('07 Support Drivers'!$D$13="Floor space",SUMIF('08 Allocation Data'!$A$5:$A$34,$A6,'08 Allocation Data'!$F$5:$F$34),IF('07 Support Drivers'!$D$13="Weighted floor space",SUMIF('08 Allocation Data'!$A$5:$A$34,$A6,'08 Allocation Data'!$I$5:$I$34),IF('07 Support Drivers'!$D$13="Cleaning hours",SUMIF('08 Allocation Data'!$A$5:$A$34,$A6,'08 Allocation Data'!$J$5:$J$34),IF('07 Support Drivers'!$D$13="Meals",SUMIF('08 Allocation Data'!$A$5:$A$34,$A6,'08 Allocation Data'!$K$5:$K$34),IF('07 Support Drivers'!$D$13="Direct costs",SUMIF('08 Allocation Data'!$A$5:$A$34,$A6,'08 Allocation Data'!$M$5:$M$34),0)))))))/'07 Support Drivers'!$G$13,0))</f>
        <v>0</v>
      </c>
      <c r="N6" s="55">
        <f>IF('07 Support Drivers'!$D$14="Two-stage finance",SUMIF('05 Support &amp; Income'!$A$5:$A$41,N$4,'05 Support &amp; Income'!$F$5:$F$41)*IF(SUMIF('08 Allocation Data'!$A$5:$A$34,$A6,'08 Allocation Data'!$L$5:$L$34)&gt;0,SUMIF('08 Allocation Data'!$A$5:$A$34,$A6,'08 Allocation Data'!$L$5:$L$34),IFERROR((1-SUM('08 Allocation Data'!$L$5:$L$34))*C6/SUMIFS($C$5:$C$34,'08 Allocation Data'!$L$5:$L$34,0),0)),IFERROR(SUMIF('05 Support &amp; Income'!$A$5:$A$41,N$4,'05 Support &amp; Income'!$F$5:$F$41)*IF('07 Support Drivers'!$D$14="Headcount",SUMIF('08 Allocation Data'!$A$5:$A$34,$A6,'08 Allocation Data'!$D$5:$D$34),IF('07 Support Drivers'!$D$14="FTE",SUMIF('08 Allocation Data'!$A$5:$A$34,$A6,'08 Allocation Data'!$E$5:$E$34),IF('07 Support Drivers'!$D$14="Floor space",SUMIF('08 Allocation Data'!$A$5:$A$34,$A6,'08 Allocation Data'!$F$5:$F$34),IF('07 Support Drivers'!$D$14="Weighted floor space",SUMIF('08 Allocation Data'!$A$5:$A$34,$A6,'08 Allocation Data'!$I$5:$I$34),IF('07 Support Drivers'!$D$14="Cleaning hours",SUMIF('08 Allocation Data'!$A$5:$A$34,$A6,'08 Allocation Data'!$J$5:$J$34),IF('07 Support Drivers'!$D$14="Meals",SUMIF('08 Allocation Data'!$A$5:$A$34,$A6,'08 Allocation Data'!$K$5:$K$34),IF('07 Support Drivers'!$D$14="Direct costs",SUMIF('08 Allocation Data'!$A$5:$A$34,$A6,'08 Allocation Data'!$M$5:$M$34),0)))))))/'07 Support Drivers'!$G$14,0))</f>
        <v>0</v>
      </c>
      <c r="O6" s="55">
        <f>IF('07 Support Drivers'!$D$15="Two-stage finance",SUMIF('05 Support &amp; Income'!$A$5:$A$41,O$4,'05 Support &amp; Income'!$F$5:$F$41)*IF(SUMIF('08 Allocation Data'!$A$5:$A$34,$A6,'08 Allocation Data'!$L$5:$L$34)&gt;0,SUMIF('08 Allocation Data'!$A$5:$A$34,$A6,'08 Allocation Data'!$L$5:$L$34),IFERROR((1-SUM('08 Allocation Data'!$L$5:$L$34))*C6/SUMIFS($C$5:$C$34,'08 Allocation Data'!$L$5:$L$34,0),0)),IFERROR(SUMIF('05 Support &amp; Income'!$A$5:$A$41,O$4,'05 Support &amp; Income'!$F$5:$F$41)*IF('07 Support Drivers'!$D$15="Headcount",SUMIF('08 Allocation Data'!$A$5:$A$34,$A6,'08 Allocation Data'!$D$5:$D$34),IF('07 Support Drivers'!$D$15="FTE",SUMIF('08 Allocation Data'!$A$5:$A$34,$A6,'08 Allocation Data'!$E$5:$E$34),IF('07 Support Drivers'!$D$15="Floor space",SUMIF('08 Allocation Data'!$A$5:$A$34,$A6,'08 Allocation Data'!$F$5:$F$34),IF('07 Support Drivers'!$D$15="Weighted floor space",SUMIF('08 Allocation Data'!$A$5:$A$34,$A6,'08 Allocation Data'!$I$5:$I$34),IF('07 Support Drivers'!$D$15="Cleaning hours",SUMIF('08 Allocation Data'!$A$5:$A$34,$A6,'08 Allocation Data'!$J$5:$J$34),IF('07 Support Drivers'!$D$15="Meals",SUMIF('08 Allocation Data'!$A$5:$A$34,$A6,'08 Allocation Data'!$K$5:$K$34),IF('07 Support Drivers'!$D$15="Direct costs",SUMIF('08 Allocation Data'!$A$5:$A$34,$A6,'08 Allocation Data'!$M$5:$M$34),0)))))))/'07 Support Drivers'!$G$15,0))</f>
        <v>0</v>
      </c>
      <c r="P6" s="55">
        <f>IF('07 Support Drivers'!$D$16="Two-stage finance",SUMIF('05 Support &amp; Income'!$A$5:$A$41,P$4,'05 Support &amp; Income'!$F$5:$F$41)*IF(SUMIF('08 Allocation Data'!$A$5:$A$34,$A6,'08 Allocation Data'!$L$5:$L$34)&gt;0,SUMIF('08 Allocation Data'!$A$5:$A$34,$A6,'08 Allocation Data'!$L$5:$L$34),IFERROR((1-SUM('08 Allocation Data'!$L$5:$L$34))*C6/SUMIFS($C$5:$C$34,'08 Allocation Data'!$L$5:$L$34,0),0)),IFERROR(SUMIF('05 Support &amp; Income'!$A$5:$A$41,P$4,'05 Support &amp; Income'!$F$5:$F$41)*IF('07 Support Drivers'!$D$16="Headcount",SUMIF('08 Allocation Data'!$A$5:$A$34,$A6,'08 Allocation Data'!$D$5:$D$34),IF('07 Support Drivers'!$D$16="FTE",SUMIF('08 Allocation Data'!$A$5:$A$34,$A6,'08 Allocation Data'!$E$5:$E$34),IF('07 Support Drivers'!$D$16="Floor space",SUMIF('08 Allocation Data'!$A$5:$A$34,$A6,'08 Allocation Data'!$F$5:$F$34),IF('07 Support Drivers'!$D$16="Weighted floor space",SUMIF('08 Allocation Data'!$A$5:$A$34,$A6,'08 Allocation Data'!$I$5:$I$34),IF('07 Support Drivers'!$D$16="Cleaning hours",SUMIF('08 Allocation Data'!$A$5:$A$34,$A6,'08 Allocation Data'!$J$5:$J$34),IF('07 Support Drivers'!$D$16="Meals",SUMIF('08 Allocation Data'!$A$5:$A$34,$A6,'08 Allocation Data'!$K$5:$K$34),IF('07 Support Drivers'!$D$16="Direct costs",SUMIF('08 Allocation Data'!$A$5:$A$34,$A6,'08 Allocation Data'!$M$5:$M$34),0)))))))/'07 Support Drivers'!$G$16,0))</f>
        <v>0</v>
      </c>
      <c r="Q6" s="55">
        <f>IF('07 Support Drivers'!$D$17="Two-stage finance",SUMIF('05 Support &amp; Income'!$A$5:$A$41,Q$4,'05 Support &amp; Income'!$F$5:$F$41)*IF(SUMIF('08 Allocation Data'!$A$5:$A$34,$A6,'08 Allocation Data'!$L$5:$L$34)&gt;0,SUMIF('08 Allocation Data'!$A$5:$A$34,$A6,'08 Allocation Data'!$L$5:$L$34),IFERROR((1-SUM('08 Allocation Data'!$L$5:$L$34))*C6/SUMIFS($C$5:$C$34,'08 Allocation Data'!$L$5:$L$34,0),0)),IFERROR(SUMIF('05 Support &amp; Income'!$A$5:$A$41,Q$4,'05 Support &amp; Income'!$F$5:$F$41)*IF('07 Support Drivers'!$D$17="Headcount",SUMIF('08 Allocation Data'!$A$5:$A$34,$A6,'08 Allocation Data'!$D$5:$D$34),IF('07 Support Drivers'!$D$17="FTE",SUMIF('08 Allocation Data'!$A$5:$A$34,$A6,'08 Allocation Data'!$E$5:$E$34),IF('07 Support Drivers'!$D$17="Floor space",SUMIF('08 Allocation Data'!$A$5:$A$34,$A6,'08 Allocation Data'!$F$5:$F$34),IF('07 Support Drivers'!$D$17="Weighted floor space",SUMIF('08 Allocation Data'!$A$5:$A$34,$A6,'08 Allocation Data'!$I$5:$I$34),IF('07 Support Drivers'!$D$17="Cleaning hours",SUMIF('08 Allocation Data'!$A$5:$A$34,$A6,'08 Allocation Data'!$J$5:$J$34),IF('07 Support Drivers'!$D$17="Meals",SUMIF('08 Allocation Data'!$A$5:$A$34,$A6,'08 Allocation Data'!$K$5:$K$34),IF('07 Support Drivers'!$D$17="Direct costs",SUMIF('08 Allocation Data'!$A$5:$A$34,$A6,'08 Allocation Data'!$M$5:$M$34),0)))))))/'07 Support Drivers'!$G$17,0))</f>
        <v>0</v>
      </c>
      <c r="R6" s="48">
        <f t="shared" si="0"/>
        <v>0</v>
      </c>
      <c r="S6" s="48">
        <f>SUMIF('04 Service Costs'!$A$5:$A$31,A6,'04 Service Costs'!$M$5:$M$31)+SUMIF('06 Shared Cost Pools'!$D$21:$D$260,A6,'06 Shared Cost Pools'!$I$21:$I$260)</f>
        <v>0</v>
      </c>
      <c r="T6" s="48">
        <f>SUMIF('04 Service Costs'!$A$5:$A$31,A6,'04 Service Costs'!$N$5:$N$31)+SUMIF('06 Shared Cost Pools'!$D$21:$D$260,A6,'06 Shared Cost Pools'!$J$21:$J$260)</f>
        <v>0</v>
      </c>
      <c r="U6" s="48">
        <f>SUMIF('04 Service Costs'!$A$5:$A$31,A6,'04 Service Costs'!$O$5:$O$31)+SUMIF('06 Shared Cost Pools'!$D$21:$D$260,A6,'06 Shared Cost Pools'!$K$21:$K$260)</f>
        <v>0</v>
      </c>
      <c r="V6" s="48">
        <f t="shared" si="1"/>
        <v>0</v>
      </c>
    </row>
    <row r="7" spans="1:22">
      <c r="A7" s="3" t="s">
        <v>215</v>
      </c>
      <c r="B7" s="3" t="s">
        <v>633</v>
      </c>
      <c r="C7" s="55">
        <f>SUMIF('04 Service Costs'!$A$5:$A$31,A7,'04 Service Costs'!$L$5:$L$31)+SUMIF('05 Support &amp; Income'!$A$5:$A$41,A7,'05 Support &amp; Income'!$F$5:$F$41)</f>
        <v>0</v>
      </c>
      <c r="D7" s="55">
        <f>SUMIF('06 Shared Cost Pools'!$D$21:$D$260,A7,'06 Shared Cost Pools'!$F$21:$F$260)</f>
        <v>0</v>
      </c>
      <c r="E7" s="55">
        <f>IF('07 Support Drivers'!$D$5="Two-stage finance",SUMIF('05 Support &amp; Income'!$A$5:$A$41,E$4,'05 Support &amp; Income'!$F$5:$F$41)*IF(SUMIF('08 Allocation Data'!$A$5:$A$34,$A7,'08 Allocation Data'!$L$5:$L$34)&gt;0,SUMIF('08 Allocation Data'!$A$5:$A$34,$A7,'08 Allocation Data'!$L$5:$L$34),IFERROR((1-SUM('08 Allocation Data'!$L$5:$L$34))*C7/SUMIFS($C$5:$C$34,'08 Allocation Data'!$L$5:$L$34,0),0)),IFERROR(SUMIF('05 Support &amp; Income'!$A$5:$A$41,E$4,'05 Support &amp; Income'!$F$5:$F$41)*IF('07 Support Drivers'!$D$5="Headcount",SUMIF('08 Allocation Data'!$A$5:$A$34,$A7,'08 Allocation Data'!$D$5:$D$34),IF('07 Support Drivers'!$D$5="FTE",SUMIF('08 Allocation Data'!$A$5:$A$34,$A7,'08 Allocation Data'!$E$5:$E$34),IF('07 Support Drivers'!$D$5="Floor space",SUMIF('08 Allocation Data'!$A$5:$A$34,$A7,'08 Allocation Data'!$F$5:$F$34),IF('07 Support Drivers'!$D$5="Weighted floor space",SUMIF('08 Allocation Data'!$A$5:$A$34,$A7,'08 Allocation Data'!$I$5:$I$34),IF('07 Support Drivers'!$D$5="Cleaning hours",SUMIF('08 Allocation Data'!$A$5:$A$34,$A7,'08 Allocation Data'!$J$5:$J$34),IF('07 Support Drivers'!$D$5="Meals",SUMIF('08 Allocation Data'!$A$5:$A$34,$A7,'08 Allocation Data'!$K$5:$K$34),IF('07 Support Drivers'!$D$5="Direct costs",SUMIF('08 Allocation Data'!$A$5:$A$34,$A7,'08 Allocation Data'!$M$5:$M$34),0)))))))/'07 Support Drivers'!$G$5,0))</f>
        <v>0</v>
      </c>
      <c r="F7" s="55">
        <f>IF('07 Support Drivers'!$D$6="Two-stage finance",SUMIF('05 Support &amp; Income'!$A$5:$A$41,F$4,'05 Support &amp; Income'!$F$5:$F$41)*IF(SUMIF('08 Allocation Data'!$A$5:$A$34,$A7,'08 Allocation Data'!$L$5:$L$34)&gt;0,SUMIF('08 Allocation Data'!$A$5:$A$34,$A7,'08 Allocation Data'!$L$5:$L$34),IFERROR((1-SUM('08 Allocation Data'!$L$5:$L$34))*C7/SUMIFS($C$5:$C$34,'08 Allocation Data'!$L$5:$L$34,0),0)),IFERROR(SUMIF('05 Support &amp; Income'!$A$5:$A$41,F$4,'05 Support &amp; Income'!$F$5:$F$41)*IF('07 Support Drivers'!$D$6="Headcount",SUMIF('08 Allocation Data'!$A$5:$A$34,$A7,'08 Allocation Data'!$D$5:$D$34),IF('07 Support Drivers'!$D$6="FTE",SUMIF('08 Allocation Data'!$A$5:$A$34,$A7,'08 Allocation Data'!$E$5:$E$34),IF('07 Support Drivers'!$D$6="Floor space",SUMIF('08 Allocation Data'!$A$5:$A$34,$A7,'08 Allocation Data'!$F$5:$F$34),IF('07 Support Drivers'!$D$6="Weighted floor space",SUMIF('08 Allocation Data'!$A$5:$A$34,$A7,'08 Allocation Data'!$I$5:$I$34),IF('07 Support Drivers'!$D$6="Cleaning hours",SUMIF('08 Allocation Data'!$A$5:$A$34,$A7,'08 Allocation Data'!$J$5:$J$34),IF('07 Support Drivers'!$D$6="Meals",SUMIF('08 Allocation Data'!$A$5:$A$34,$A7,'08 Allocation Data'!$K$5:$K$34),IF('07 Support Drivers'!$D$6="Direct costs",SUMIF('08 Allocation Data'!$A$5:$A$34,$A7,'08 Allocation Data'!$M$5:$M$34),0)))))))/'07 Support Drivers'!$G$6,0))</f>
        <v>0</v>
      </c>
      <c r="G7" s="55">
        <f>IF('07 Support Drivers'!$D$7="Two-stage finance",SUMIF('05 Support &amp; Income'!$A$5:$A$41,G$4,'05 Support &amp; Income'!$F$5:$F$41)*IF(SUMIF('08 Allocation Data'!$A$5:$A$34,$A7,'08 Allocation Data'!$L$5:$L$34)&gt;0,SUMIF('08 Allocation Data'!$A$5:$A$34,$A7,'08 Allocation Data'!$L$5:$L$34),IFERROR((1-SUM('08 Allocation Data'!$L$5:$L$34))*C7/SUMIFS($C$5:$C$34,'08 Allocation Data'!$L$5:$L$34,0),0)),IFERROR(SUMIF('05 Support &amp; Income'!$A$5:$A$41,G$4,'05 Support &amp; Income'!$F$5:$F$41)*IF('07 Support Drivers'!$D$7="Headcount",SUMIF('08 Allocation Data'!$A$5:$A$34,$A7,'08 Allocation Data'!$D$5:$D$34),IF('07 Support Drivers'!$D$7="FTE",SUMIF('08 Allocation Data'!$A$5:$A$34,$A7,'08 Allocation Data'!$E$5:$E$34),IF('07 Support Drivers'!$D$7="Floor space",SUMIF('08 Allocation Data'!$A$5:$A$34,$A7,'08 Allocation Data'!$F$5:$F$34),IF('07 Support Drivers'!$D$7="Weighted floor space",SUMIF('08 Allocation Data'!$A$5:$A$34,$A7,'08 Allocation Data'!$I$5:$I$34),IF('07 Support Drivers'!$D$7="Cleaning hours",SUMIF('08 Allocation Data'!$A$5:$A$34,$A7,'08 Allocation Data'!$J$5:$J$34),IF('07 Support Drivers'!$D$7="Meals",SUMIF('08 Allocation Data'!$A$5:$A$34,$A7,'08 Allocation Data'!$K$5:$K$34),IF('07 Support Drivers'!$D$7="Direct costs",SUMIF('08 Allocation Data'!$A$5:$A$34,$A7,'08 Allocation Data'!$M$5:$M$34),0)))))))/'07 Support Drivers'!$G$7,0))</f>
        <v>0</v>
      </c>
      <c r="H7" s="55">
        <f>IF('07 Support Drivers'!$D$8="Two-stage finance",SUMIF('05 Support &amp; Income'!$A$5:$A$41,H$4,'05 Support &amp; Income'!$F$5:$F$41)*IF(SUMIF('08 Allocation Data'!$A$5:$A$34,$A7,'08 Allocation Data'!$L$5:$L$34)&gt;0,SUMIF('08 Allocation Data'!$A$5:$A$34,$A7,'08 Allocation Data'!$L$5:$L$34),IFERROR((1-SUM('08 Allocation Data'!$L$5:$L$34))*C7/SUMIFS($C$5:$C$34,'08 Allocation Data'!$L$5:$L$34,0),0)),IFERROR(SUMIF('05 Support &amp; Income'!$A$5:$A$41,H$4,'05 Support &amp; Income'!$F$5:$F$41)*IF('07 Support Drivers'!$D$8="Headcount",SUMIF('08 Allocation Data'!$A$5:$A$34,$A7,'08 Allocation Data'!$D$5:$D$34),IF('07 Support Drivers'!$D$8="FTE",SUMIF('08 Allocation Data'!$A$5:$A$34,$A7,'08 Allocation Data'!$E$5:$E$34),IF('07 Support Drivers'!$D$8="Floor space",SUMIF('08 Allocation Data'!$A$5:$A$34,$A7,'08 Allocation Data'!$F$5:$F$34),IF('07 Support Drivers'!$D$8="Weighted floor space",SUMIF('08 Allocation Data'!$A$5:$A$34,$A7,'08 Allocation Data'!$I$5:$I$34),IF('07 Support Drivers'!$D$8="Cleaning hours",SUMIF('08 Allocation Data'!$A$5:$A$34,$A7,'08 Allocation Data'!$J$5:$J$34),IF('07 Support Drivers'!$D$8="Meals",SUMIF('08 Allocation Data'!$A$5:$A$34,$A7,'08 Allocation Data'!$K$5:$K$34),IF('07 Support Drivers'!$D$8="Direct costs",SUMIF('08 Allocation Data'!$A$5:$A$34,$A7,'08 Allocation Data'!$M$5:$M$34),0)))))))/'07 Support Drivers'!$G$8,0))</f>
        <v>0</v>
      </c>
      <c r="I7" s="55">
        <f>IF('07 Support Drivers'!$D$9="Two-stage finance",SUMIF('05 Support &amp; Income'!$A$5:$A$41,I$4,'05 Support &amp; Income'!$F$5:$F$41)*IF(SUMIF('08 Allocation Data'!$A$5:$A$34,$A7,'08 Allocation Data'!$L$5:$L$34)&gt;0,SUMIF('08 Allocation Data'!$A$5:$A$34,$A7,'08 Allocation Data'!$L$5:$L$34),IFERROR((1-SUM('08 Allocation Data'!$L$5:$L$34))*C7/SUMIFS($C$5:$C$34,'08 Allocation Data'!$L$5:$L$34,0),0)),IFERROR(SUMIF('05 Support &amp; Income'!$A$5:$A$41,I$4,'05 Support &amp; Income'!$F$5:$F$41)*IF('07 Support Drivers'!$D$9="Headcount",SUMIF('08 Allocation Data'!$A$5:$A$34,$A7,'08 Allocation Data'!$D$5:$D$34),IF('07 Support Drivers'!$D$9="FTE",SUMIF('08 Allocation Data'!$A$5:$A$34,$A7,'08 Allocation Data'!$E$5:$E$34),IF('07 Support Drivers'!$D$9="Floor space",SUMIF('08 Allocation Data'!$A$5:$A$34,$A7,'08 Allocation Data'!$F$5:$F$34),IF('07 Support Drivers'!$D$9="Weighted floor space",SUMIF('08 Allocation Data'!$A$5:$A$34,$A7,'08 Allocation Data'!$I$5:$I$34),IF('07 Support Drivers'!$D$9="Cleaning hours",SUMIF('08 Allocation Data'!$A$5:$A$34,$A7,'08 Allocation Data'!$J$5:$J$34),IF('07 Support Drivers'!$D$9="Meals",SUMIF('08 Allocation Data'!$A$5:$A$34,$A7,'08 Allocation Data'!$K$5:$K$34),IF('07 Support Drivers'!$D$9="Direct costs",SUMIF('08 Allocation Data'!$A$5:$A$34,$A7,'08 Allocation Data'!$M$5:$M$34),0)))))))/'07 Support Drivers'!$G$9,0))</f>
        <v>0</v>
      </c>
      <c r="J7" s="55">
        <f>IF('07 Support Drivers'!$D$10="Two-stage finance",SUMIF('05 Support &amp; Income'!$A$5:$A$41,J$4,'05 Support &amp; Income'!$F$5:$F$41)*IF(SUMIF('08 Allocation Data'!$A$5:$A$34,$A7,'08 Allocation Data'!$L$5:$L$34)&gt;0,SUMIF('08 Allocation Data'!$A$5:$A$34,$A7,'08 Allocation Data'!$L$5:$L$34),IFERROR((1-SUM('08 Allocation Data'!$L$5:$L$34))*C7/SUMIFS($C$5:$C$34,'08 Allocation Data'!$L$5:$L$34,0),0)),IFERROR(SUMIF('05 Support &amp; Income'!$A$5:$A$41,J$4,'05 Support &amp; Income'!$F$5:$F$41)*IF('07 Support Drivers'!$D$10="Headcount",SUMIF('08 Allocation Data'!$A$5:$A$34,$A7,'08 Allocation Data'!$D$5:$D$34),IF('07 Support Drivers'!$D$10="FTE",SUMIF('08 Allocation Data'!$A$5:$A$34,$A7,'08 Allocation Data'!$E$5:$E$34),IF('07 Support Drivers'!$D$10="Floor space",SUMIF('08 Allocation Data'!$A$5:$A$34,$A7,'08 Allocation Data'!$F$5:$F$34),IF('07 Support Drivers'!$D$10="Weighted floor space",SUMIF('08 Allocation Data'!$A$5:$A$34,$A7,'08 Allocation Data'!$I$5:$I$34),IF('07 Support Drivers'!$D$10="Cleaning hours",SUMIF('08 Allocation Data'!$A$5:$A$34,$A7,'08 Allocation Data'!$J$5:$J$34),IF('07 Support Drivers'!$D$10="Meals",SUMIF('08 Allocation Data'!$A$5:$A$34,$A7,'08 Allocation Data'!$K$5:$K$34),IF('07 Support Drivers'!$D$10="Direct costs",SUMIF('08 Allocation Data'!$A$5:$A$34,$A7,'08 Allocation Data'!$M$5:$M$34),0)))))))/'07 Support Drivers'!$G$10,0))</f>
        <v>0</v>
      </c>
      <c r="K7" s="55">
        <f>IF('07 Support Drivers'!$D$11="Two-stage finance",SUMIF('05 Support &amp; Income'!$A$5:$A$41,K$4,'05 Support &amp; Income'!$F$5:$F$41)*IF(SUMIF('08 Allocation Data'!$A$5:$A$34,$A7,'08 Allocation Data'!$L$5:$L$34)&gt;0,SUMIF('08 Allocation Data'!$A$5:$A$34,$A7,'08 Allocation Data'!$L$5:$L$34),IFERROR((1-SUM('08 Allocation Data'!$L$5:$L$34))*C7/SUMIFS($C$5:$C$34,'08 Allocation Data'!$L$5:$L$34,0),0)),IFERROR(SUMIF('05 Support &amp; Income'!$A$5:$A$41,K$4,'05 Support &amp; Income'!$F$5:$F$41)*IF('07 Support Drivers'!$D$11="Headcount",SUMIF('08 Allocation Data'!$A$5:$A$34,$A7,'08 Allocation Data'!$D$5:$D$34),IF('07 Support Drivers'!$D$11="FTE",SUMIF('08 Allocation Data'!$A$5:$A$34,$A7,'08 Allocation Data'!$E$5:$E$34),IF('07 Support Drivers'!$D$11="Floor space",SUMIF('08 Allocation Data'!$A$5:$A$34,$A7,'08 Allocation Data'!$F$5:$F$34),IF('07 Support Drivers'!$D$11="Weighted floor space",SUMIF('08 Allocation Data'!$A$5:$A$34,$A7,'08 Allocation Data'!$I$5:$I$34),IF('07 Support Drivers'!$D$11="Cleaning hours",SUMIF('08 Allocation Data'!$A$5:$A$34,$A7,'08 Allocation Data'!$J$5:$J$34),IF('07 Support Drivers'!$D$11="Meals",SUMIF('08 Allocation Data'!$A$5:$A$34,$A7,'08 Allocation Data'!$K$5:$K$34),IF('07 Support Drivers'!$D$11="Direct costs",SUMIF('08 Allocation Data'!$A$5:$A$34,$A7,'08 Allocation Data'!$M$5:$M$34),0)))))))/'07 Support Drivers'!$G$11,0))</f>
        <v>0</v>
      </c>
      <c r="L7" s="55">
        <f>IF('07 Support Drivers'!$D$12="Two-stage finance",SUMIF('05 Support &amp; Income'!$A$5:$A$41,L$4,'05 Support &amp; Income'!$F$5:$F$41)*IF(SUMIF('08 Allocation Data'!$A$5:$A$34,$A7,'08 Allocation Data'!$L$5:$L$34)&gt;0,SUMIF('08 Allocation Data'!$A$5:$A$34,$A7,'08 Allocation Data'!$L$5:$L$34),IFERROR((1-SUM('08 Allocation Data'!$L$5:$L$34))*C7/SUMIFS($C$5:$C$34,'08 Allocation Data'!$L$5:$L$34,0),0)),IFERROR(SUMIF('05 Support &amp; Income'!$A$5:$A$41,L$4,'05 Support &amp; Income'!$F$5:$F$41)*IF('07 Support Drivers'!$D$12="Headcount",SUMIF('08 Allocation Data'!$A$5:$A$34,$A7,'08 Allocation Data'!$D$5:$D$34),IF('07 Support Drivers'!$D$12="FTE",SUMIF('08 Allocation Data'!$A$5:$A$34,$A7,'08 Allocation Data'!$E$5:$E$34),IF('07 Support Drivers'!$D$12="Floor space",SUMIF('08 Allocation Data'!$A$5:$A$34,$A7,'08 Allocation Data'!$F$5:$F$34),IF('07 Support Drivers'!$D$12="Weighted floor space",SUMIF('08 Allocation Data'!$A$5:$A$34,$A7,'08 Allocation Data'!$I$5:$I$34),IF('07 Support Drivers'!$D$12="Cleaning hours",SUMIF('08 Allocation Data'!$A$5:$A$34,$A7,'08 Allocation Data'!$J$5:$J$34),IF('07 Support Drivers'!$D$12="Meals",SUMIF('08 Allocation Data'!$A$5:$A$34,$A7,'08 Allocation Data'!$K$5:$K$34),IF('07 Support Drivers'!$D$12="Direct costs",SUMIF('08 Allocation Data'!$A$5:$A$34,$A7,'08 Allocation Data'!$M$5:$M$34),0)))))))/'07 Support Drivers'!$G$12,0))</f>
        <v>0</v>
      </c>
      <c r="M7" s="55">
        <f>IF('07 Support Drivers'!$D$13="Two-stage finance",SUMIF('05 Support &amp; Income'!$A$5:$A$41,M$4,'05 Support &amp; Income'!$F$5:$F$41)*IF(SUMIF('08 Allocation Data'!$A$5:$A$34,$A7,'08 Allocation Data'!$L$5:$L$34)&gt;0,SUMIF('08 Allocation Data'!$A$5:$A$34,$A7,'08 Allocation Data'!$L$5:$L$34),IFERROR((1-SUM('08 Allocation Data'!$L$5:$L$34))*C7/SUMIFS($C$5:$C$34,'08 Allocation Data'!$L$5:$L$34,0),0)),IFERROR(SUMIF('05 Support &amp; Income'!$A$5:$A$41,M$4,'05 Support &amp; Income'!$F$5:$F$41)*IF('07 Support Drivers'!$D$13="Headcount",SUMIF('08 Allocation Data'!$A$5:$A$34,$A7,'08 Allocation Data'!$D$5:$D$34),IF('07 Support Drivers'!$D$13="FTE",SUMIF('08 Allocation Data'!$A$5:$A$34,$A7,'08 Allocation Data'!$E$5:$E$34),IF('07 Support Drivers'!$D$13="Floor space",SUMIF('08 Allocation Data'!$A$5:$A$34,$A7,'08 Allocation Data'!$F$5:$F$34),IF('07 Support Drivers'!$D$13="Weighted floor space",SUMIF('08 Allocation Data'!$A$5:$A$34,$A7,'08 Allocation Data'!$I$5:$I$34),IF('07 Support Drivers'!$D$13="Cleaning hours",SUMIF('08 Allocation Data'!$A$5:$A$34,$A7,'08 Allocation Data'!$J$5:$J$34),IF('07 Support Drivers'!$D$13="Meals",SUMIF('08 Allocation Data'!$A$5:$A$34,$A7,'08 Allocation Data'!$K$5:$K$34),IF('07 Support Drivers'!$D$13="Direct costs",SUMIF('08 Allocation Data'!$A$5:$A$34,$A7,'08 Allocation Data'!$M$5:$M$34),0)))))))/'07 Support Drivers'!$G$13,0))</f>
        <v>0</v>
      </c>
      <c r="N7" s="55">
        <f>IF('07 Support Drivers'!$D$14="Two-stage finance",SUMIF('05 Support &amp; Income'!$A$5:$A$41,N$4,'05 Support &amp; Income'!$F$5:$F$41)*IF(SUMIF('08 Allocation Data'!$A$5:$A$34,$A7,'08 Allocation Data'!$L$5:$L$34)&gt;0,SUMIF('08 Allocation Data'!$A$5:$A$34,$A7,'08 Allocation Data'!$L$5:$L$34),IFERROR((1-SUM('08 Allocation Data'!$L$5:$L$34))*C7/SUMIFS($C$5:$C$34,'08 Allocation Data'!$L$5:$L$34,0),0)),IFERROR(SUMIF('05 Support &amp; Income'!$A$5:$A$41,N$4,'05 Support &amp; Income'!$F$5:$F$41)*IF('07 Support Drivers'!$D$14="Headcount",SUMIF('08 Allocation Data'!$A$5:$A$34,$A7,'08 Allocation Data'!$D$5:$D$34),IF('07 Support Drivers'!$D$14="FTE",SUMIF('08 Allocation Data'!$A$5:$A$34,$A7,'08 Allocation Data'!$E$5:$E$34),IF('07 Support Drivers'!$D$14="Floor space",SUMIF('08 Allocation Data'!$A$5:$A$34,$A7,'08 Allocation Data'!$F$5:$F$34),IF('07 Support Drivers'!$D$14="Weighted floor space",SUMIF('08 Allocation Data'!$A$5:$A$34,$A7,'08 Allocation Data'!$I$5:$I$34),IF('07 Support Drivers'!$D$14="Cleaning hours",SUMIF('08 Allocation Data'!$A$5:$A$34,$A7,'08 Allocation Data'!$J$5:$J$34),IF('07 Support Drivers'!$D$14="Meals",SUMIF('08 Allocation Data'!$A$5:$A$34,$A7,'08 Allocation Data'!$K$5:$K$34),IF('07 Support Drivers'!$D$14="Direct costs",SUMIF('08 Allocation Data'!$A$5:$A$34,$A7,'08 Allocation Data'!$M$5:$M$34),0)))))))/'07 Support Drivers'!$G$14,0))</f>
        <v>0</v>
      </c>
      <c r="O7" s="55">
        <f>IF('07 Support Drivers'!$D$15="Two-stage finance",SUMIF('05 Support &amp; Income'!$A$5:$A$41,O$4,'05 Support &amp; Income'!$F$5:$F$41)*IF(SUMIF('08 Allocation Data'!$A$5:$A$34,$A7,'08 Allocation Data'!$L$5:$L$34)&gt;0,SUMIF('08 Allocation Data'!$A$5:$A$34,$A7,'08 Allocation Data'!$L$5:$L$34),IFERROR((1-SUM('08 Allocation Data'!$L$5:$L$34))*C7/SUMIFS($C$5:$C$34,'08 Allocation Data'!$L$5:$L$34,0),0)),IFERROR(SUMIF('05 Support &amp; Income'!$A$5:$A$41,O$4,'05 Support &amp; Income'!$F$5:$F$41)*IF('07 Support Drivers'!$D$15="Headcount",SUMIF('08 Allocation Data'!$A$5:$A$34,$A7,'08 Allocation Data'!$D$5:$D$34),IF('07 Support Drivers'!$D$15="FTE",SUMIF('08 Allocation Data'!$A$5:$A$34,$A7,'08 Allocation Data'!$E$5:$E$34),IF('07 Support Drivers'!$D$15="Floor space",SUMIF('08 Allocation Data'!$A$5:$A$34,$A7,'08 Allocation Data'!$F$5:$F$34),IF('07 Support Drivers'!$D$15="Weighted floor space",SUMIF('08 Allocation Data'!$A$5:$A$34,$A7,'08 Allocation Data'!$I$5:$I$34),IF('07 Support Drivers'!$D$15="Cleaning hours",SUMIF('08 Allocation Data'!$A$5:$A$34,$A7,'08 Allocation Data'!$J$5:$J$34),IF('07 Support Drivers'!$D$15="Meals",SUMIF('08 Allocation Data'!$A$5:$A$34,$A7,'08 Allocation Data'!$K$5:$K$34),IF('07 Support Drivers'!$D$15="Direct costs",SUMIF('08 Allocation Data'!$A$5:$A$34,$A7,'08 Allocation Data'!$M$5:$M$34),0)))))))/'07 Support Drivers'!$G$15,0))</f>
        <v>0</v>
      </c>
      <c r="P7" s="55">
        <f>IF('07 Support Drivers'!$D$16="Two-stage finance",SUMIF('05 Support &amp; Income'!$A$5:$A$41,P$4,'05 Support &amp; Income'!$F$5:$F$41)*IF(SUMIF('08 Allocation Data'!$A$5:$A$34,$A7,'08 Allocation Data'!$L$5:$L$34)&gt;0,SUMIF('08 Allocation Data'!$A$5:$A$34,$A7,'08 Allocation Data'!$L$5:$L$34),IFERROR((1-SUM('08 Allocation Data'!$L$5:$L$34))*C7/SUMIFS($C$5:$C$34,'08 Allocation Data'!$L$5:$L$34,0),0)),IFERROR(SUMIF('05 Support &amp; Income'!$A$5:$A$41,P$4,'05 Support &amp; Income'!$F$5:$F$41)*IF('07 Support Drivers'!$D$16="Headcount",SUMIF('08 Allocation Data'!$A$5:$A$34,$A7,'08 Allocation Data'!$D$5:$D$34),IF('07 Support Drivers'!$D$16="FTE",SUMIF('08 Allocation Data'!$A$5:$A$34,$A7,'08 Allocation Data'!$E$5:$E$34),IF('07 Support Drivers'!$D$16="Floor space",SUMIF('08 Allocation Data'!$A$5:$A$34,$A7,'08 Allocation Data'!$F$5:$F$34),IF('07 Support Drivers'!$D$16="Weighted floor space",SUMIF('08 Allocation Data'!$A$5:$A$34,$A7,'08 Allocation Data'!$I$5:$I$34),IF('07 Support Drivers'!$D$16="Cleaning hours",SUMIF('08 Allocation Data'!$A$5:$A$34,$A7,'08 Allocation Data'!$J$5:$J$34),IF('07 Support Drivers'!$D$16="Meals",SUMIF('08 Allocation Data'!$A$5:$A$34,$A7,'08 Allocation Data'!$K$5:$K$34),IF('07 Support Drivers'!$D$16="Direct costs",SUMIF('08 Allocation Data'!$A$5:$A$34,$A7,'08 Allocation Data'!$M$5:$M$34),0)))))))/'07 Support Drivers'!$G$16,0))</f>
        <v>0</v>
      </c>
      <c r="Q7" s="55">
        <f>IF('07 Support Drivers'!$D$17="Two-stage finance",SUMIF('05 Support &amp; Income'!$A$5:$A$41,Q$4,'05 Support &amp; Income'!$F$5:$F$41)*IF(SUMIF('08 Allocation Data'!$A$5:$A$34,$A7,'08 Allocation Data'!$L$5:$L$34)&gt;0,SUMIF('08 Allocation Data'!$A$5:$A$34,$A7,'08 Allocation Data'!$L$5:$L$34),IFERROR((1-SUM('08 Allocation Data'!$L$5:$L$34))*C7/SUMIFS($C$5:$C$34,'08 Allocation Data'!$L$5:$L$34,0),0)),IFERROR(SUMIF('05 Support &amp; Income'!$A$5:$A$41,Q$4,'05 Support &amp; Income'!$F$5:$F$41)*IF('07 Support Drivers'!$D$17="Headcount",SUMIF('08 Allocation Data'!$A$5:$A$34,$A7,'08 Allocation Data'!$D$5:$D$34),IF('07 Support Drivers'!$D$17="FTE",SUMIF('08 Allocation Data'!$A$5:$A$34,$A7,'08 Allocation Data'!$E$5:$E$34),IF('07 Support Drivers'!$D$17="Floor space",SUMIF('08 Allocation Data'!$A$5:$A$34,$A7,'08 Allocation Data'!$F$5:$F$34),IF('07 Support Drivers'!$D$17="Weighted floor space",SUMIF('08 Allocation Data'!$A$5:$A$34,$A7,'08 Allocation Data'!$I$5:$I$34),IF('07 Support Drivers'!$D$17="Cleaning hours",SUMIF('08 Allocation Data'!$A$5:$A$34,$A7,'08 Allocation Data'!$J$5:$J$34),IF('07 Support Drivers'!$D$17="Meals",SUMIF('08 Allocation Data'!$A$5:$A$34,$A7,'08 Allocation Data'!$K$5:$K$34),IF('07 Support Drivers'!$D$17="Direct costs",SUMIF('08 Allocation Data'!$A$5:$A$34,$A7,'08 Allocation Data'!$M$5:$M$34),0)))))))/'07 Support Drivers'!$G$17,0))</f>
        <v>0</v>
      </c>
      <c r="R7" s="48">
        <f t="shared" si="0"/>
        <v>0</v>
      </c>
      <c r="S7" s="48">
        <f>SUMIF('04 Service Costs'!$A$5:$A$31,A7,'04 Service Costs'!$M$5:$M$31)+SUMIF('06 Shared Cost Pools'!$D$21:$D$260,A7,'06 Shared Cost Pools'!$I$21:$I$260)</f>
        <v>0</v>
      </c>
      <c r="T7" s="48">
        <f>SUMIF('04 Service Costs'!$A$5:$A$31,A7,'04 Service Costs'!$N$5:$N$31)+SUMIF('06 Shared Cost Pools'!$D$21:$D$260,A7,'06 Shared Cost Pools'!$J$21:$J$260)</f>
        <v>0</v>
      </c>
      <c r="U7" s="48">
        <f>SUMIF('04 Service Costs'!$A$5:$A$31,A7,'04 Service Costs'!$O$5:$O$31)+SUMIF('06 Shared Cost Pools'!$D$21:$D$260,A7,'06 Shared Cost Pools'!$K$21:$K$260)</f>
        <v>0</v>
      </c>
      <c r="V7" s="48">
        <f t="shared" si="1"/>
        <v>0</v>
      </c>
    </row>
    <row r="8" spans="1:22">
      <c r="A8" s="3" t="s">
        <v>117</v>
      </c>
      <c r="B8" s="3" t="s">
        <v>119</v>
      </c>
      <c r="C8" s="55">
        <f>SUMIF('04 Service Costs'!$A$5:$A$31,A8,'04 Service Costs'!$L$5:$L$31)+SUMIF('05 Support &amp; Income'!$A$5:$A$41,A8,'05 Support &amp; Income'!$F$5:$F$41)</f>
        <v>0</v>
      </c>
      <c r="D8" s="55">
        <f>SUMIF('06 Shared Cost Pools'!$D$21:$D$260,A8,'06 Shared Cost Pools'!$F$21:$F$260)</f>
        <v>0</v>
      </c>
      <c r="E8" s="55">
        <f>IF('07 Support Drivers'!$D$5="Two-stage finance",SUMIF('05 Support &amp; Income'!$A$5:$A$41,E$4,'05 Support &amp; Income'!$F$5:$F$41)*IF(SUMIF('08 Allocation Data'!$A$5:$A$34,$A8,'08 Allocation Data'!$L$5:$L$34)&gt;0,SUMIF('08 Allocation Data'!$A$5:$A$34,$A8,'08 Allocation Data'!$L$5:$L$34),IFERROR((1-SUM('08 Allocation Data'!$L$5:$L$34))*C8/SUMIFS($C$5:$C$34,'08 Allocation Data'!$L$5:$L$34,0),0)),IFERROR(SUMIF('05 Support &amp; Income'!$A$5:$A$41,E$4,'05 Support &amp; Income'!$F$5:$F$41)*IF('07 Support Drivers'!$D$5="Headcount",SUMIF('08 Allocation Data'!$A$5:$A$34,$A8,'08 Allocation Data'!$D$5:$D$34),IF('07 Support Drivers'!$D$5="FTE",SUMIF('08 Allocation Data'!$A$5:$A$34,$A8,'08 Allocation Data'!$E$5:$E$34),IF('07 Support Drivers'!$D$5="Floor space",SUMIF('08 Allocation Data'!$A$5:$A$34,$A8,'08 Allocation Data'!$F$5:$F$34),IF('07 Support Drivers'!$D$5="Weighted floor space",SUMIF('08 Allocation Data'!$A$5:$A$34,$A8,'08 Allocation Data'!$I$5:$I$34),IF('07 Support Drivers'!$D$5="Cleaning hours",SUMIF('08 Allocation Data'!$A$5:$A$34,$A8,'08 Allocation Data'!$J$5:$J$34),IF('07 Support Drivers'!$D$5="Meals",SUMIF('08 Allocation Data'!$A$5:$A$34,$A8,'08 Allocation Data'!$K$5:$K$34),IF('07 Support Drivers'!$D$5="Direct costs",SUMIF('08 Allocation Data'!$A$5:$A$34,$A8,'08 Allocation Data'!$M$5:$M$34),0)))))))/'07 Support Drivers'!$G$5,0))</f>
        <v>0</v>
      </c>
      <c r="F8" s="55">
        <f>IF('07 Support Drivers'!$D$6="Two-stage finance",SUMIF('05 Support &amp; Income'!$A$5:$A$41,F$4,'05 Support &amp; Income'!$F$5:$F$41)*IF(SUMIF('08 Allocation Data'!$A$5:$A$34,$A8,'08 Allocation Data'!$L$5:$L$34)&gt;0,SUMIF('08 Allocation Data'!$A$5:$A$34,$A8,'08 Allocation Data'!$L$5:$L$34),IFERROR((1-SUM('08 Allocation Data'!$L$5:$L$34))*C8/SUMIFS($C$5:$C$34,'08 Allocation Data'!$L$5:$L$34,0),0)),IFERROR(SUMIF('05 Support &amp; Income'!$A$5:$A$41,F$4,'05 Support &amp; Income'!$F$5:$F$41)*IF('07 Support Drivers'!$D$6="Headcount",SUMIF('08 Allocation Data'!$A$5:$A$34,$A8,'08 Allocation Data'!$D$5:$D$34),IF('07 Support Drivers'!$D$6="FTE",SUMIF('08 Allocation Data'!$A$5:$A$34,$A8,'08 Allocation Data'!$E$5:$E$34),IF('07 Support Drivers'!$D$6="Floor space",SUMIF('08 Allocation Data'!$A$5:$A$34,$A8,'08 Allocation Data'!$F$5:$F$34),IF('07 Support Drivers'!$D$6="Weighted floor space",SUMIF('08 Allocation Data'!$A$5:$A$34,$A8,'08 Allocation Data'!$I$5:$I$34),IF('07 Support Drivers'!$D$6="Cleaning hours",SUMIF('08 Allocation Data'!$A$5:$A$34,$A8,'08 Allocation Data'!$J$5:$J$34),IF('07 Support Drivers'!$D$6="Meals",SUMIF('08 Allocation Data'!$A$5:$A$34,$A8,'08 Allocation Data'!$K$5:$K$34),IF('07 Support Drivers'!$D$6="Direct costs",SUMIF('08 Allocation Data'!$A$5:$A$34,$A8,'08 Allocation Data'!$M$5:$M$34),0)))))))/'07 Support Drivers'!$G$6,0))</f>
        <v>0</v>
      </c>
      <c r="G8" s="55">
        <f>IF('07 Support Drivers'!$D$7="Two-stage finance",SUMIF('05 Support &amp; Income'!$A$5:$A$41,G$4,'05 Support &amp; Income'!$F$5:$F$41)*IF(SUMIF('08 Allocation Data'!$A$5:$A$34,$A8,'08 Allocation Data'!$L$5:$L$34)&gt;0,SUMIF('08 Allocation Data'!$A$5:$A$34,$A8,'08 Allocation Data'!$L$5:$L$34),IFERROR((1-SUM('08 Allocation Data'!$L$5:$L$34))*C8/SUMIFS($C$5:$C$34,'08 Allocation Data'!$L$5:$L$34,0),0)),IFERROR(SUMIF('05 Support &amp; Income'!$A$5:$A$41,G$4,'05 Support &amp; Income'!$F$5:$F$41)*IF('07 Support Drivers'!$D$7="Headcount",SUMIF('08 Allocation Data'!$A$5:$A$34,$A8,'08 Allocation Data'!$D$5:$D$34),IF('07 Support Drivers'!$D$7="FTE",SUMIF('08 Allocation Data'!$A$5:$A$34,$A8,'08 Allocation Data'!$E$5:$E$34),IF('07 Support Drivers'!$D$7="Floor space",SUMIF('08 Allocation Data'!$A$5:$A$34,$A8,'08 Allocation Data'!$F$5:$F$34),IF('07 Support Drivers'!$D$7="Weighted floor space",SUMIF('08 Allocation Data'!$A$5:$A$34,$A8,'08 Allocation Data'!$I$5:$I$34),IF('07 Support Drivers'!$D$7="Cleaning hours",SUMIF('08 Allocation Data'!$A$5:$A$34,$A8,'08 Allocation Data'!$J$5:$J$34),IF('07 Support Drivers'!$D$7="Meals",SUMIF('08 Allocation Data'!$A$5:$A$34,$A8,'08 Allocation Data'!$K$5:$K$34),IF('07 Support Drivers'!$D$7="Direct costs",SUMIF('08 Allocation Data'!$A$5:$A$34,$A8,'08 Allocation Data'!$M$5:$M$34),0)))))))/'07 Support Drivers'!$G$7,0))</f>
        <v>0</v>
      </c>
      <c r="H8" s="55">
        <f>IF('07 Support Drivers'!$D$8="Two-stage finance",SUMIF('05 Support &amp; Income'!$A$5:$A$41,H$4,'05 Support &amp; Income'!$F$5:$F$41)*IF(SUMIF('08 Allocation Data'!$A$5:$A$34,$A8,'08 Allocation Data'!$L$5:$L$34)&gt;0,SUMIF('08 Allocation Data'!$A$5:$A$34,$A8,'08 Allocation Data'!$L$5:$L$34),IFERROR((1-SUM('08 Allocation Data'!$L$5:$L$34))*C8/SUMIFS($C$5:$C$34,'08 Allocation Data'!$L$5:$L$34,0),0)),IFERROR(SUMIF('05 Support &amp; Income'!$A$5:$A$41,H$4,'05 Support &amp; Income'!$F$5:$F$41)*IF('07 Support Drivers'!$D$8="Headcount",SUMIF('08 Allocation Data'!$A$5:$A$34,$A8,'08 Allocation Data'!$D$5:$D$34),IF('07 Support Drivers'!$D$8="FTE",SUMIF('08 Allocation Data'!$A$5:$A$34,$A8,'08 Allocation Data'!$E$5:$E$34),IF('07 Support Drivers'!$D$8="Floor space",SUMIF('08 Allocation Data'!$A$5:$A$34,$A8,'08 Allocation Data'!$F$5:$F$34),IF('07 Support Drivers'!$D$8="Weighted floor space",SUMIF('08 Allocation Data'!$A$5:$A$34,$A8,'08 Allocation Data'!$I$5:$I$34),IF('07 Support Drivers'!$D$8="Cleaning hours",SUMIF('08 Allocation Data'!$A$5:$A$34,$A8,'08 Allocation Data'!$J$5:$J$34),IF('07 Support Drivers'!$D$8="Meals",SUMIF('08 Allocation Data'!$A$5:$A$34,$A8,'08 Allocation Data'!$K$5:$K$34),IF('07 Support Drivers'!$D$8="Direct costs",SUMIF('08 Allocation Data'!$A$5:$A$34,$A8,'08 Allocation Data'!$M$5:$M$34),0)))))))/'07 Support Drivers'!$G$8,0))</f>
        <v>0</v>
      </c>
      <c r="I8" s="55">
        <f>IF('07 Support Drivers'!$D$9="Two-stage finance",SUMIF('05 Support &amp; Income'!$A$5:$A$41,I$4,'05 Support &amp; Income'!$F$5:$F$41)*IF(SUMIF('08 Allocation Data'!$A$5:$A$34,$A8,'08 Allocation Data'!$L$5:$L$34)&gt;0,SUMIF('08 Allocation Data'!$A$5:$A$34,$A8,'08 Allocation Data'!$L$5:$L$34),IFERROR((1-SUM('08 Allocation Data'!$L$5:$L$34))*C8/SUMIFS($C$5:$C$34,'08 Allocation Data'!$L$5:$L$34,0),0)),IFERROR(SUMIF('05 Support &amp; Income'!$A$5:$A$41,I$4,'05 Support &amp; Income'!$F$5:$F$41)*IF('07 Support Drivers'!$D$9="Headcount",SUMIF('08 Allocation Data'!$A$5:$A$34,$A8,'08 Allocation Data'!$D$5:$D$34),IF('07 Support Drivers'!$D$9="FTE",SUMIF('08 Allocation Data'!$A$5:$A$34,$A8,'08 Allocation Data'!$E$5:$E$34),IF('07 Support Drivers'!$D$9="Floor space",SUMIF('08 Allocation Data'!$A$5:$A$34,$A8,'08 Allocation Data'!$F$5:$F$34),IF('07 Support Drivers'!$D$9="Weighted floor space",SUMIF('08 Allocation Data'!$A$5:$A$34,$A8,'08 Allocation Data'!$I$5:$I$34),IF('07 Support Drivers'!$D$9="Cleaning hours",SUMIF('08 Allocation Data'!$A$5:$A$34,$A8,'08 Allocation Data'!$J$5:$J$34),IF('07 Support Drivers'!$D$9="Meals",SUMIF('08 Allocation Data'!$A$5:$A$34,$A8,'08 Allocation Data'!$K$5:$K$34),IF('07 Support Drivers'!$D$9="Direct costs",SUMIF('08 Allocation Data'!$A$5:$A$34,$A8,'08 Allocation Data'!$M$5:$M$34),0)))))))/'07 Support Drivers'!$G$9,0))</f>
        <v>0</v>
      </c>
      <c r="J8" s="55">
        <f>IF('07 Support Drivers'!$D$10="Two-stage finance",SUMIF('05 Support &amp; Income'!$A$5:$A$41,J$4,'05 Support &amp; Income'!$F$5:$F$41)*IF(SUMIF('08 Allocation Data'!$A$5:$A$34,$A8,'08 Allocation Data'!$L$5:$L$34)&gt;0,SUMIF('08 Allocation Data'!$A$5:$A$34,$A8,'08 Allocation Data'!$L$5:$L$34),IFERROR((1-SUM('08 Allocation Data'!$L$5:$L$34))*C8/SUMIFS($C$5:$C$34,'08 Allocation Data'!$L$5:$L$34,0),0)),IFERROR(SUMIF('05 Support &amp; Income'!$A$5:$A$41,J$4,'05 Support &amp; Income'!$F$5:$F$41)*IF('07 Support Drivers'!$D$10="Headcount",SUMIF('08 Allocation Data'!$A$5:$A$34,$A8,'08 Allocation Data'!$D$5:$D$34),IF('07 Support Drivers'!$D$10="FTE",SUMIF('08 Allocation Data'!$A$5:$A$34,$A8,'08 Allocation Data'!$E$5:$E$34),IF('07 Support Drivers'!$D$10="Floor space",SUMIF('08 Allocation Data'!$A$5:$A$34,$A8,'08 Allocation Data'!$F$5:$F$34),IF('07 Support Drivers'!$D$10="Weighted floor space",SUMIF('08 Allocation Data'!$A$5:$A$34,$A8,'08 Allocation Data'!$I$5:$I$34),IF('07 Support Drivers'!$D$10="Cleaning hours",SUMIF('08 Allocation Data'!$A$5:$A$34,$A8,'08 Allocation Data'!$J$5:$J$34),IF('07 Support Drivers'!$D$10="Meals",SUMIF('08 Allocation Data'!$A$5:$A$34,$A8,'08 Allocation Data'!$K$5:$K$34),IF('07 Support Drivers'!$D$10="Direct costs",SUMIF('08 Allocation Data'!$A$5:$A$34,$A8,'08 Allocation Data'!$M$5:$M$34),0)))))))/'07 Support Drivers'!$G$10,0))</f>
        <v>0</v>
      </c>
      <c r="K8" s="55">
        <f>IF('07 Support Drivers'!$D$11="Two-stage finance",SUMIF('05 Support &amp; Income'!$A$5:$A$41,K$4,'05 Support &amp; Income'!$F$5:$F$41)*IF(SUMIF('08 Allocation Data'!$A$5:$A$34,$A8,'08 Allocation Data'!$L$5:$L$34)&gt;0,SUMIF('08 Allocation Data'!$A$5:$A$34,$A8,'08 Allocation Data'!$L$5:$L$34),IFERROR((1-SUM('08 Allocation Data'!$L$5:$L$34))*C8/SUMIFS($C$5:$C$34,'08 Allocation Data'!$L$5:$L$34,0),0)),IFERROR(SUMIF('05 Support &amp; Income'!$A$5:$A$41,K$4,'05 Support &amp; Income'!$F$5:$F$41)*IF('07 Support Drivers'!$D$11="Headcount",SUMIF('08 Allocation Data'!$A$5:$A$34,$A8,'08 Allocation Data'!$D$5:$D$34),IF('07 Support Drivers'!$D$11="FTE",SUMIF('08 Allocation Data'!$A$5:$A$34,$A8,'08 Allocation Data'!$E$5:$E$34),IF('07 Support Drivers'!$D$11="Floor space",SUMIF('08 Allocation Data'!$A$5:$A$34,$A8,'08 Allocation Data'!$F$5:$F$34),IF('07 Support Drivers'!$D$11="Weighted floor space",SUMIF('08 Allocation Data'!$A$5:$A$34,$A8,'08 Allocation Data'!$I$5:$I$34),IF('07 Support Drivers'!$D$11="Cleaning hours",SUMIF('08 Allocation Data'!$A$5:$A$34,$A8,'08 Allocation Data'!$J$5:$J$34),IF('07 Support Drivers'!$D$11="Meals",SUMIF('08 Allocation Data'!$A$5:$A$34,$A8,'08 Allocation Data'!$K$5:$K$34),IF('07 Support Drivers'!$D$11="Direct costs",SUMIF('08 Allocation Data'!$A$5:$A$34,$A8,'08 Allocation Data'!$M$5:$M$34),0)))))))/'07 Support Drivers'!$G$11,0))</f>
        <v>0</v>
      </c>
      <c r="L8" s="55">
        <f>IF('07 Support Drivers'!$D$12="Two-stage finance",SUMIF('05 Support &amp; Income'!$A$5:$A$41,L$4,'05 Support &amp; Income'!$F$5:$F$41)*IF(SUMIF('08 Allocation Data'!$A$5:$A$34,$A8,'08 Allocation Data'!$L$5:$L$34)&gt;0,SUMIF('08 Allocation Data'!$A$5:$A$34,$A8,'08 Allocation Data'!$L$5:$L$34),IFERROR((1-SUM('08 Allocation Data'!$L$5:$L$34))*C8/SUMIFS($C$5:$C$34,'08 Allocation Data'!$L$5:$L$34,0),0)),IFERROR(SUMIF('05 Support &amp; Income'!$A$5:$A$41,L$4,'05 Support &amp; Income'!$F$5:$F$41)*IF('07 Support Drivers'!$D$12="Headcount",SUMIF('08 Allocation Data'!$A$5:$A$34,$A8,'08 Allocation Data'!$D$5:$D$34),IF('07 Support Drivers'!$D$12="FTE",SUMIF('08 Allocation Data'!$A$5:$A$34,$A8,'08 Allocation Data'!$E$5:$E$34),IF('07 Support Drivers'!$D$12="Floor space",SUMIF('08 Allocation Data'!$A$5:$A$34,$A8,'08 Allocation Data'!$F$5:$F$34),IF('07 Support Drivers'!$D$12="Weighted floor space",SUMIF('08 Allocation Data'!$A$5:$A$34,$A8,'08 Allocation Data'!$I$5:$I$34),IF('07 Support Drivers'!$D$12="Cleaning hours",SUMIF('08 Allocation Data'!$A$5:$A$34,$A8,'08 Allocation Data'!$J$5:$J$34),IF('07 Support Drivers'!$D$12="Meals",SUMIF('08 Allocation Data'!$A$5:$A$34,$A8,'08 Allocation Data'!$K$5:$K$34),IF('07 Support Drivers'!$D$12="Direct costs",SUMIF('08 Allocation Data'!$A$5:$A$34,$A8,'08 Allocation Data'!$M$5:$M$34),0)))))))/'07 Support Drivers'!$G$12,0))</f>
        <v>0</v>
      </c>
      <c r="M8" s="55">
        <f>IF('07 Support Drivers'!$D$13="Two-stage finance",SUMIF('05 Support &amp; Income'!$A$5:$A$41,M$4,'05 Support &amp; Income'!$F$5:$F$41)*IF(SUMIF('08 Allocation Data'!$A$5:$A$34,$A8,'08 Allocation Data'!$L$5:$L$34)&gt;0,SUMIF('08 Allocation Data'!$A$5:$A$34,$A8,'08 Allocation Data'!$L$5:$L$34),IFERROR((1-SUM('08 Allocation Data'!$L$5:$L$34))*C8/SUMIFS($C$5:$C$34,'08 Allocation Data'!$L$5:$L$34,0),0)),IFERROR(SUMIF('05 Support &amp; Income'!$A$5:$A$41,M$4,'05 Support &amp; Income'!$F$5:$F$41)*IF('07 Support Drivers'!$D$13="Headcount",SUMIF('08 Allocation Data'!$A$5:$A$34,$A8,'08 Allocation Data'!$D$5:$D$34),IF('07 Support Drivers'!$D$13="FTE",SUMIF('08 Allocation Data'!$A$5:$A$34,$A8,'08 Allocation Data'!$E$5:$E$34),IF('07 Support Drivers'!$D$13="Floor space",SUMIF('08 Allocation Data'!$A$5:$A$34,$A8,'08 Allocation Data'!$F$5:$F$34),IF('07 Support Drivers'!$D$13="Weighted floor space",SUMIF('08 Allocation Data'!$A$5:$A$34,$A8,'08 Allocation Data'!$I$5:$I$34),IF('07 Support Drivers'!$D$13="Cleaning hours",SUMIF('08 Allocation Data'!$A$5:$A$34,$A8,'08 Allocation Data'!$J$5:$J$34),IF('07 Support Drivers'!$D$13="Meals",SUMIF('08 Allocation Data'!$A$5:$A$34,$A8,'08 Allocation Data'!$K$5:$K$34),IF('07 Support Drivers'!$D$13="Direct costs",SUMIF('08 Allocation Data'!$A$5:$A$34,$A8,'08 Allocation Data'!$M$5:$M$34),0)))))))/'07 Support Drivers'!$G$13,0))</f>
        <v>0</v>
      </c>
      <c r="N8" s="55">
        <f>IF('07 Support Drivers'!$D$14="Two-stage finance",SUMIF('05 Support &amp; Income'!$A$5:$A$41,N$4,'05 Support &amp; Income'!$F$5:$F$41)*IF(SUMIF('08 Allocation Data'!$A$5:$A$34,$A8,'08 Allocation Data'!$L$5:$L$34)&gt;0,SUMIF('08 Allocation Data'!$A$5:$A$34,$A8,'08 Allocation Data'!$L$5:$L$34),IFERROR((1-SUM('08 Allocation Data'!$L$5:$L$34))*C8/SUMIFS($C$5:$C$34,'08 Allocation Data'!$L$5:$L$34,0),0)),IFERROR(SUMIF('05 Support &amp; Income'!$A$5:$A$41,N$4,'05 Support &amp; Income'!$F$5:$F$41)*IF('07 Support Drivers'!$D$14="Headcount",SUMIF('08 Allocation Data'!$A$5:$A$34,$A8,'08 Allocation Data'!$D$5:$D$34),IF('07 Support Drivers'!$D$14="FTE",SUMIF('08 Allocation Data'!$A$5:$A$34,$A8,'08 Allocation Data'!$E$5:$E$34),IF('07 Support Drivers'!$D$14="Floor space",SUMIF('08 Allocation Data'!$A$5:$A$34,$A8,'08 Allocation Data'!$F$5:$F$34),IF('07 Support Drivers'!$D$14="Weighted floor space",SUMIF('08 Allocation Data'!$A$5:$A$34,$A8,'08 Allocation Data'!$I$5:$I$34),IF('07 Support Drivers'!$D$14="Cleaning hours",SUMIF('08 Allocation Data'!$A$5:$A$34,$A8,'08 Allocation Data'!$J$5:$J$34),IF('07 Support Drivers'!$D$14="Meals",SUMIF('08 Allocation Data'!$A$5:$A$34,$A8,'08 Allocation Data'!$K$5:$K$34),IF('07 Support Drivers'!$D$14="Direct costs",SUMIF('08 Allocation Data'!$A$5:$A$34,$A8,'08 Allocation Data'!$M$5:$M$34),0)))))))/'07 Support Drivers'!$G$14,0))</f>
        <v>0</v>
      </c>
      <c r="O8" s="55">
        <f>IF('07 Support Drivers'!$D$15="Two-stage finance",SUMIF('05 Support &amp; Income'!$A$5:$A$41,O$4,'05 Support &amp; Income'!$F$5:$F$41)*IF(SUMIF('08 Allocation Data'!$A$5:$A$34,$A8,'08 Allocation Data'!$L$5:$L$34)&gt;0,SUMIF('08 Allocation Data'!$A$5:$A$34,$A8,'08 Allocation Data'!$L$5:$L$34),IFERROR((1-SUM('08 Allocation Data'!$L$5:$L$34))*C8/SUMIFS($C$5:$C$34,'08 Allocation Data'!$L$5:$L$34,0),0)),IFERROR(SUMIF('05 Support &amp; Income'!$A$5:$A$41,O$4,'05 Support &amp; Income'!$F$5:$F$41)*IF('07 Support Drivers'!$D$15="Headcount",SUMIF('08 Allocation Data'!$A$5:$A$34,$A8,'08 Allocation Data'!$D$5:$D$34),IF('07 Support Drivers'!$D$15="FTE",SUMIF('08 Allocation Data'!$A$5:$A$34,$A8,'08 Allocation Data'!$E$5:$E$34),IF('07 Support Drivers'!$D$15="Floor space",SUMIF('08 Allocation Data'!$A$5:$A$34,$A8,'08 Allocation Data'!$F$5:$F$34),IF('07 Support Drivers'!$D$15="Weighted floor space",SUMIF('08 Allocation Data'!$A$5:$A$34,$A8,'08 Allocation Data'!$I$5:$I$34),IF('07 Support Drivers'!$D$15="Cleaning hours",SUMIF('08 Allocation Data'!$A$5:$A$34,$A8,'08 Allocation Data'!$J$5:$J$34),IF('07 Support Drivers'!$D$15="Meals",SUMIF('08 Allocation Data'!$A$5:$A$34,$A8,'08 Allocation Data'!$K$5:$K$34),IF('07 Support Drivers'!$D$15="Direct costs",SUMIF('08 Allocation Data'!$A$5:$A$34,$A8,'08 Allocation Data'!$M$5:$M$34),0)))))))/'07 Support Drivers'!$G$15,0))</f>
        <v>0</v>
      </c>
      <c r="P8" s="55">
        <f>IF('07 Support Drivers'!$D$16="Two-stage finance",SUMIF('05 Support &amp; Income'!$A$5:$A$41,P$4,'05 Support &amp; Income'!$F$5:$F$41)*IF(SUMIF('08 Allocation Data'!$A$5:$A$34,$A8,'08 Allocation Data'!$L$5:$L$34)&gt;0,SUMIF('08 Allocation Data'!$A$5:$A$34,$A8,'08 Allocation Data'!$L$5:$L$34),IFERROR((1-SUM('08 Allocation Data'!$L$5:$L$34))*C8/SUMIFS($C$5:$C$34,'08 Allocation Data'!$L$5:$L$34,0),0)),IFERROR(SUMIF('05 Support &amp; Income'!$A$5:$A$41,P$4,'05 Support &amp; Income'!$F$5:$F$41)*IF('07 Support Drivers'!$D$16="Headcount",SUMIF('08 Allocation Data'!$A$5:$A$34,$A8,'08 Allocation Data'!$D$5:$D$34),IF('07 Support Drivers'!$D$16="FTE",SUMIF('08 Allocation Data'!$A$5:$A$34,$A8,'08 Allocation Data'!$E$5:$E$34),IF('07 Support Drivers'!$D$16="Floor space",SUMIF('08 Allocation Data'!$A$5:$A$34,$A8,'08 Allocation Data'!$F$5:$F$34),IF('07 Support Drivers'!$D$16="Weighted floor space",SUMIF('08 Allocation Data'!$A$5:$A$34,$A8,'08 Allocation Data'!$I$5:$I$34),IF('07 Support Drivers'!$D$16="Cleaning hours",SUMIF('08 Allocation Data'!$A$5:$A$34,$A8,'08 Allocation Data'!$J$5:$J$34),IF('07 Support Drivers'!$D$16="Meals",SUMIF('08 Allocation Data'!$A$5:$A$34,$A8,'08 Allocation Data'!$K$5:$K$34),IF('07 Support Drivers'!$D$16="Direct costs",SUMIF('08 Allocation Data'!$A$5:$A$34,$A8,'08 Allocation Data'!$M$5:$M$34),0)))))))/'07 Support Drivers'!$G$16,0))</f>
        <v>0</v>
      </c>
      <c r="Q8" s="55">
        <f>IF('07 Support Drivers'!$D$17="Two-stage finance",SUMIF('05 Support &amp; Income'!$A$5:$A$41,Q$4,'05 Support &amp; Income'!$F$5:$F$41)*IF(SUMIF('08 Allocation Data'!$A$5:$A$34,$A8,'08 Allocation Data'!$L$5:$L$34)&gt;0,SUMIF('08 Allocation Data'!$A$5:$A$34,$A8,'08 Allocation Data'!$L$5:$L$34),IFERROR((1-SUM('08 Allocation Data'!$L$5:$L$34))*C8/SUMIFS($C$5:$C$34,'08 Allocation Data'!$L$5:$L$34,0),0)),IFERROR(SUMIF('05 Support &amp; Income'!$A$5:$A$41,Q$4,'05 Support &amp; Income'!$F$5:$F$41)*IF('07 Support Drivers'!$D$17="Headcount",SUMIF('08 Allocation Data'!$A$5:$A$34,$A8,'08 Allocation Data'!$D$5:$D$34),IF('07 Support Drivers'!$D$17="FTE",SUMIF('08 Allocation Data'!$A$5:$A$34,$A8,'08 Allocation Data'!$E$5:$E$34),IF('07 Support Drivers'!$D$17="Floor space",SUMIF('08 Allocation Data'!$A$5:$A$34,$A8,'08 Allocation Data'!$F$5:$F$34),IF('07 Support Drivers'!$D$17="Weighted floor space",SUMIF('08 Allocation Data'!$A$5:$A$34,$A8,'08 Allocation Data'!$I$5:$I$34),IF('07 Support Drivers'!$D$17="Cleaning hours",SUMIF('08 Allocation Data'!$A$5:$A$34,$A8,'08 Allocation Data'!$J$5:$J$34),IF('07 Support Drivers'!$D$17="Meals",SUMIF('08 Allocation Data'!$A$5:$A$34,$A8,'08 Allocation Data'!$K$5:$K$34),IF('07 Support Drivers'!$D$17="Direct costs",SUMIF('08 Allocation Data'!$A$5:$A$34,$A8,'08 Allocation Data'!$M$5:$M$34),0)))))))/'07 Support Drivers'!$G$17,0))</f>
        <v>0</v>
      </c>
      <c r="R8" s="48">
        <f t="shared" si="0"/>
        <v>0</v>
      </c>
      <c r="S8" s="48">
        <f>SUMIF('04 Service Costs'!$A$5:$A$31,A8,'04 Service Costs'!$M$5:$M$31)+SUMIF('06 Shared Cost Pools'!$D$21:$D$260,A8,'06 Shared Cost Pools'!$I$21:$I$260)</f>
        <v>0</v>
      </c>
      <c r="T8" s="48">
        <f>SUMIF('04 Service Costs'!$A$5:$A$31,A8,'04 Service Costs'!$N$5:$N$31)+SUMIF('06 Shared Cost Pools'!$D$21:$D$260,A8,'06 Shared Cost Pools'!$J$21:$J$260)</f>
        <v>0</v>
      </c>
      <c r="U8" s="48">
        <f>SUMIF('04 Service Costs'!$A$5:$A$31,A8,'04 Service Costs'!$O$5:$O$31)+SUMIF('06 Shared Cost Pools'!$D$21:$D$260,A8,'06 Shared Cost Pools'!$K$21:$K$260)</f>
        <v>0</v>
      </c>
      <c r="V8" s="48">
        <f t="shared" si="1"/>
        <v>0</v>
      </c>
    </row>
    <row r="9" spans="1:22">
      <c r="A9" s="3" t="s">
        <v>120</v>
      </c>
      <c r="B9" s="3" t="s">
        <v>121</v>
      </c>
      <c r="C9" s="55">
        <f>SUMIF('04 Service Costs'!$A$5:$A$31,A9,'04 Service Costs'!$L$5:$L$31)+SUMIF('05 Support &amp; Income'!$A$5:$A$41,A9,'05 Support &amp; Income'!$F$5:$F$41)</f>
        <v>0</v>
      </c>
      <c r="D9" s="55">
        <f>SUMIF('06 Shared Cost Pools'!$D$21:$D$260,A9,'06 Shared Cost Pools'!$F$21:$F$260)</f>
        <v>0</v>
      </c>
      <c r="E9" s="55">
        <f>IF('07 Support Drivers'!$D$5="Two-stage finance",SUMIF('05 Support &amp; Income'!$A$5:$A$41,E$4,'05 Support &amp; Income'!$F$5:$F$41)*IF(SUMIF('08 Allocation Data'!$A$5:$A$34,$A9,'08 Allocation Data'!$L$5:$L$34)&gt;0,SUMIF('08 Allocation Data'!$A$5:$A$34,$A9,'08 Allocation Data'!$L$5:$L$34),IFERROR((1-SUM('08 Allocation Data'!$L$5:$L$34))*C9/SUMIFS($C$5:$C$34,'08 Allocation Data'!$L$5:$L$34,0),0)),IFERROR(SUMIF('05 Support &amp; Income'!$A$5:$A$41,E$4,'05 Support &amp; Income'!$F$5:$F$41)*IF('07 Support Drivers'!$D$5="Headcount",SUMIF('08 Allocation Data'!$A$5:$A$34,$A9,'08 Allocation Data'!$D$5:$D$34),IF('07 Support Drivers'!$D$5="FTE",SUMIF('08 Allocation Data'!$A$5:$A$34,$A9,'08 Allocation Data'!$E$5:$E$34),IF('07 Support Drivers'!$D$5="Floor space",SUMIF('08 Allocation Data'!$A$5:$A$34,$A9,'08 Allocation Data'!$F$5:$F$34),IF('07 Support Drivers'!$D$5="Weighted floor space",SUMIF('08 Allocation Data'!$A$5:$A$34,$A9,'08 Allocation Data'!$I$5:$I$34),IF('07 Support Drivers'!$D$5="Cleaning hours",SUMIF('08 Allocation Data'!$A$5:$A$34,$A9,'08 Allocation Data'!$J$5:$J$34),IF('07 Support Drivers'!$D$5="Meals",SUMIF('08 Allocation Data'!$A$5:$A$34,$A9,'08 Allocation Data'!$K$5:$K$34),IF('07 Support Drivers'!$D$5="Direct costs",SUMIF('08 Allocation Data'!$A$5:$A$34,$A9,'08 Allocation Data'!$M$5:$M$34),0)))))))/'07 Support Drivers'!$G$5,0))</f>
        <v>0</v>
      </c>
      <c r="F9" s="55">
        <f>IF('07 Support Drivers'!$D$6="Two-stage finance",SUMIF('05 Support &amp; Income'!$A$5:$A$41,F$4,'05 Support &amp; Income'!$F$5:$F$41)*IF(SUMIF('08 Allocation Data'!$A$5:$A$34,$A9,'08 Allocation Data'!$L$5:$L$34)&gt;0,SUMIF('08 Allocation Data'!$A$5:$A$34,$A9,'08 Allocation Data'!$L$5:$L$34),IFERROR((1-SUM('08 Allocation Data'!$L$5:$L$34))*C9/SUMIFS($C$5:$C$34,'08 Allocation Data'!$L$5:$L$34,0),0)),IFERROR(SUMIF('05 Support &amp; Income'!$A$5:$A$41,F$4,'05 Support &amp; Income'!$F$5:$F$41)*IF('07 Support Drivers'!$D$6="Headcount",SUMIF('08 Allocation Data'!$A$5:$A$34,$A9,'08 Allocation Data'!$D$5:$D$34),IF('07 Support Drivers'!$D$6="FTE",SUMIF('08 Allocation Data'!$A$5:$A$34,$A9,'08 Allocation Data'!$E$5:$E$34),IF('07 Support Drivers'!$D$6="Floor space",SUMIF('08 Allocation Data'!$A$5:$A$34,$A9,'08 Allocation Data'!$F$5:$F$34),IF('07 Support Drivers'!$D$6="Weighted floor space",SUMIF('08 Allocation Data'!$A$5:$A$34,$A9,'08 Allocation Data'!$I$5:$I$34),IF('07 Support Drivers'!$D$6="Cleaning hours",SUMIF('08 Allocation Data'!$A$5:$A$34,$A9,'08 Allocation Data'!$J$5:$J$34),IF('07 Support Drivers'!$D$6="Meals",SUMIF('08 Allocation Data'!$A$5:$A$34,$A9,'08 Allocation Data'!$K$5:$K$34),IF('07 Support Drivers'!$D$6="Direct costs",SUMIF('08 Allocation Data'!$A$5:$A$34,$A9,'08 Allocation Data'!$M$5:$M$34),0)))))))/'07 Support Drivers'!$G$6,0))</f>
        <v>0</v>
      </c>
      <c r="G9" s="55">
        <f>IF('07 Support Drivers'!$D$7="Two-stage finance",SUMIF('05 Support &amp; Income'!$A$5:$A$41,G$4,'05 Support &amp; Income'!$F$5:$F$41)*IF(SUMIF('08 Allocation Data'!$A$5:$A$34,$A9,'08 Allocation Data'!$L$5:$L$34)&gt;0,SUMIF('08 Allocation Data'!$A$5:$A$34,$A9,'08 Allocation Data'!$L$5:$L$34),IFERROR((1-SUM('08 Allocation Data'!$L$5:$L$34))*C9/SUMIFS($C$5:$C$34,'08 Allocation Data'!$L$5:$L$34,0),0)),IFERROR(SUMIF('05 Support &amp; Income'!$A$5:$A$41,G$4,'05 Support &amp; Income'!$F$5:$F$41)*IF('07 Support Drivers'!$D$7="Headcount",SUMIF('08 Allocation Data'!$A$5:$A$34,$A9,'08 Allocation Data'!$D$5:$D$34),IF('07 Support Drivers'!$D$7="FTE",SUMIF('08 Allocation Data'!$A$5:$A$34,$A9,'08 Allocation Data'!$E$5:$E$34),IF('07 Support Drivers'!$D$7="Floor space",SUMIF('08 Allocation Data'!$A$5:$A$34,$A9,'08 Allocation Data'!$F$5:$F$34),IF('07 Support Drivers'!$D$7="Weighted floor space",SUMIF('08 Allocation Data'!$A$5:$A$34,$A9,'08 Allocation Data'!$I$5:$I$34),IF('07 Support Drivers'!$D$7="Cleaning hours",SUMIF('08 Allocation Data'!$A$5:$A$34,$A9,'08 Allocation Data'!$J$5:$J$34),IF('07 Support Drivers'!$D$7="Meals",SUMIF('08 Allocation Data'!$A$5:$A$34,$A9,'08 Allocation Data'!$K$5:$K$34),IF('07 Support Drivers'!$D$7="Direct costs",SUMIF('08 Allocation Data'!$A$5:$A$34,$A9,'08 Allocation Data'!$M$5:$M$34),0)))))))/'07 Support Drivers'!$G$7,0))</f>
        <v>0</v>
      </c>
      <c r="H9" s="55">
        <f>IF('07 Support Drivers'!$D$8="Two-stage finance",SUMIF('05 Support &amp; Income'!$A$5:$A$41,H$4,'05 Support &amp; Income'!$F$5:$F$41)*IF(SUMIF('08 Allocation Data'!$A$5:$A$34,$A9,'08 Allocation Data'!$L$5:$L$34)&gt;0,SUMIF('08 Allocation Data'!$A$5:$A$34,$A9,'08 Allocation Data'!$L$5:$L$34),IFERROR((1-SUM('08 Allocation Data'!$L$5:$L$34))*C9/SUMIFS($C$5:$C$34,'08 Allocation Data'!$L$5:$L$34,0),0)),IFERROR(SUMIF('05 Support &amp; Income'!$A$5:$A$41,H$4,'05 Support &amp; Income'!$F$5:$F$41)*IF('07 Support Drivers'!$D$8="Headcount",SUMIF('08 Allocation Data'!$A$5:$A$34,$A9,'08 Allocation Data'!$D$5:$D$34),IF('07 Support Drivers'!$D$8="FTE",SUMIF('08 Allocation Data'!$A$5:$A$34,$A9,'08 Allocation Data'!$E$5:$E$34),IF('07 Support Drivers'!$D$8="Floor space",SUMIF('08 Allocation Data'!$A$5:$A$34,$A9,'08 Allocation Data'!$F$5:$F$34),IF('07 Support Drivers'!$D$8="Weighted floor space",SUMIF('08 Allocation Data'!$A$5:$A$34,$A9,'08 Allocation Data'!$I$5:$I$34),IF('07 Support Drivers'!$D$8="Cleaning hours",SUMIF('08 Allocation Data'!$A$5:$A$34,$A9,'08 Allocation Data'!$J$5:$J$34),IF('07 Support Drivers'!$D$8="Meals",SUMIF('08 Allocation Data'!$A$5:$A$34,$A9,'08 Allocation Data'!$K$5:$K$34),IF('07 Support Drivers'!$D$8="Direct costs",SUMIF('08 Allocation Data'!$A$5:$A$34,$A9,'08 Allocation Data'!$M$5:$M$34),0)))))))/'07 Support Drivers'!$G$8,0))</f>
        <v>0</v>
      </c>
      <c r="I9" s="55">
        <f>IF('07 Support Drivers'!$D$9="Two-stage finance",SUMIF('05 Support &amp; Income'!$A$5:$A$41,I$4,'05 Support &amp; Income'!$F$5:$F$41)*IF(SUMIF('08 Allocation Data'!$A$5:$A$34,$A9,'08 Allocation Data'!$L$5:$L$34)&gt;0,SUMIF('08 Allocation Data'!$A$5:$A$34,$A9,'08 Allocation Data'!$L$5:$L$34),IFERROR((1-SUM('08 Allocation Data'!$L$5:$L$34))*C9/SUMIFS($C$5:$C$34,'08 Allocation Data'!$L$5:$L$34,0),0)),IFERROR(SUMIF('05 Support &amp; Income'!$A$5:$A$41,I$4,'05 Support &amp; Income'!$F$5:$F$41)*IF('07 Support Drivers'!$D$9="Headcount",SUMIF('08 Allocation Data'!$A$5:$A$34,$A9,'08 Allocation Data'!$D$5:$D$34),IF('07 Support Drivers'!$D$9="FTE",SUMIF('08 Allocation Data'!$A$5:$A$34,$A9,'08 Allocation Data'!$E$5:$E$34),IF('07 Support Drivers'!$D$9="Floor space",SUMIF('08 Allocation Data'!$A$5:$A$34,$A9,'08 Allocation Data'!$F$5:$F$34),IF('07 Support Drivers'!$D$9="Weighted floor space",SUMIF('08 Allocation Data'!$A$5:$A$34,$A9,'08 Allocation Data'!$I$5:$I$34),IF('07 Support Drivers'!$D$9="Cleaning hours",SUMIF('08 Allocation Data'!$A$5:$A$34,$A9,'08 Allocation Data'!$J$5:$J$34),IF('07 Support Drivers'!$D$9="Meals",SUMIF('08 Allocation Data'!$A$5:$A$34,$A9,'08 Allocation Data'!$K$5:$K$34),IF('07 Support Drivers'!$D$9="Direct costs",SUMIF('08 Allocation Data'!$A$5:$A$34,$A9,'08 Allocation Data'!$M$5:$M$34),0)))))))/'07 Support Drivers'!$G$9,0))</f>
        <v>0</v>
      </c>
      <c r="J9" s="55">
        <f>IF('07 Support Drivers'!$D$10="Two-stage finance",SUMIF('05 Support &amp; Income'!$A$5:$A$41,J$4,'05 Support &amp; Income'!$F$5:$F$41)*IF(SUMIF('08 Allocation Data'!$A$5:$A$34,$A9,'08 Allocation Data'!$L$5:$L$34)&gt;0,SUMIF('08 Allocation Data'!$A$5:$A$34,$A9,'08 Allocation Data'!$L$5:$L$34),IFERROR((1-SUM('08 Allocation Data'!$L$5:$L$34))*C9/SUMIFS($C$5:$C$34,'08 Allocation Data'!$L$5:$L$34,0),0)),IFERROR(SUMIF('05 Support &amp; Income'!$A$5:$A$41,J$4,'05 Support &amp; Income'!$F$5:$F$41)*IF('07 Support Drivers'!$D$10="Headcount",SUMIF('08 Allocation Data'!$A$5:$A$34,$A9,'08 Allocation Data'!$D$5:$D$34),IF('07 Support Drivers'!$D$10="FTE",SUMIF('08 Allocation Data'!$A$5:$A$34,$A9,'08 Allocation Data'!$E$5:$E$34),IF('07 Support Drivers'!$D$10="Floor space",SUMIF('08 Allocation Data'!$A$5:$A$34,$A9,'08 Allocation Data'!$F$5:$F$34),IF('07 Support Drivers'!$D$10="Weighted floor space",SUMIF('08 Allocation Data'!$A$5:$A$34,$A9,'08 Allocation Data'!$I$5:$I$34),IF('07 Support Drivers'!$D$10="Cleaning hours",SUMIF('08 Allocation Data'!$A$5:$A$34,$A9,'08 Allocation Data'!$J$5:$J$34),IF('07 Support Drivers'!$D$10="Meals",SUMIF('08 Allocation Data'!$A$5:$A$34,$A9,'08 Allocation Data'!$K$5:$K$34),IF('07 Support Drivers'!$D$10="Direct costs",SUMIF('08 Allocation Data'!$A$5:$A$34,$A9,'08 Allocation Data'!$M$5:$M$34),0)))))))/'07 Support Drivers'!$G$10,0))</f>
        <v>0</v>
      </c>
      <c r="K9" s="55">
        <f>IF('07 Support Drivers'!$D$11="Two-stage finance",SUMIF('05 Support &amp; Income'!$A$5:$A$41,K$4,'05 Support &amp; Income'!$F$5:$F$41)*IF(SUMIF('08 Allocation Data'!$A$5:$A$34,$A9,'08 Allocation Data'!$L$5:$L$34)&gt;0,SUMIF('08 Allocation Data'!$A$5:$A$34,$A9,'08 Allocation Data'!$L$5:$L$34),IFERROR((1-SUM('08 Allocation Data'!$L$5:$L$34))*C9/SUMIFS($C$5:$C$34,'08 Allocation Data'!$L$5:$L$34,0),0)),IFERROR(SUMIF('05 Support &amp; Income'!$A$5:$A$41,K$4,'05 Support &amp; Income'!$F$5:$F$41)*IF('07 Support Drivers'!$D$11="Headcount",SUMIF('08 Allocation Data'!$A$5:$A$34,$A9,'08 Allocation Data'!$D$5:$D$34),IF('07 Support Drivers'!$D$11="FTE",SUMIF('08 Allocation Data'!$A$5:$A$34,$A9,'08 Allocation Data'!$E$5:$E$34),IF('07 Support Drivers'!$D$11="Floor space",SUMIF('08 Allocation Data'!$A$5:$A$34,$A9,'08 Allocation Data'!$F$5:$F$34),IF('07 Support Drivers'!$D$11="Weighted floor space",SUMIF('08 Allocation Data'!$A$5:$A$34,$A9,'08 Allocation Data'!$I$5:$I$34),IF('07 Support Drivers'!$D$11="Cleaning hours",SUMIF('08 Allocation Data'!$A$5:$A$34,$A9,'08 Allocation Data'!$J$5:$J$34),IF('07 Support Drivers'!$D$11="Meals",SUMIF('08 Allocation Data'!$A$5:$A$34,$A9,'08 Allocation Data'!$K$5:$K$34),IF('07 Support Drivers'!$D$11="Direct costs",SUMIF('08 Allocation Data'!$A$5:$A$34,$A9,'08 Allocation Data'!$M$5:$M$34),0)))))))/'07 Support Drivers'!$G$11,0))</f>
        <v>0</v>
      </c>
      <c r="L9" s="55">
        <f>IF('07 Support Drivers'!$D$12="Two-stage finance",SUMIF('05 Support &amp; Income'!$A$5:$A$41,L$4,'05 Support &amp; Income'!$F$5:$F$41)*IF(SUMIF('08 Allocation Data'!$A$5:$A$34,$A9,'08 Allocation Data'!$L$5:$L$34)&gt;0,SUMIF('08 Allocation Data'!$A$5:$A$34,$A9,'08 Allocation Data'!$L$5:$L$34),IFERROR((1-SUM('08 Allocation Data'!$L$5:$L$34))*C9/SUMIFS($C$5:$C$34,'08 Allocation Data'!$L$5:$L$34,0),0)),IFERROR(SUMIF('05 Support &amp; Income'!$A$5:$A$41,L$4,'05 Support &amp; Income'!$F$5:$F$41)*IF('07 Support Drivers'!$D$12="Headcount",SUMIF('08 Allocation Data'!$A$5:$A$34,$A9,'08 Allocation Data'!$D$5:$D$34),IF('07 Support Drivers'!$D$12="FTE",SUMIF('08 Allocation Data'!$A$5:$A$34,$A9,'08 Allocation Data'!$E$5:$E$34),IF('07 Support Drivers'!$D$12="Floor space",SUMIF('08 Allocation Data'!$A$5:$A$34,$A9,'08 Allocation Data'!$F$5:$F$34),IF('07 Support Drivers'!$D$12="Weighted floor space",SUMIF('08 Allocation Data'!$A$5:$A$34,$A9,'08 Allocation Data'!$I$5:$I$34),IF('07 Support Drivers'!$D$12="Cleaning hours",SUMIF('08 Allocation Data'!$A$5:$A$34,$A9,'08 Allocation Data'!$J$5:$J$34),IF('07 Support Drivers'!$D$12="Meals",SUMIF('08 Allocation Data'!$A$5:$A$34,$A9,'08 Allocation Data'!$K$5:$K$34),IF('07 Support Drivers'!$D$12="Direct costs",SUMIF('08 Allocation Data'!$A$5:$A$34,$A9,'08 Allocation Data'!$M$5:$M$34),0)))))))/'07 Support Drivers'!$G$12,0))</f>
        <v>0</v>
      </c>
      <c r="M9" s="55">
        <f>IF('07 Support Drivers'!$D$13="Two-stage finance",SUMIF('05 Support &amp; Income'!$A$5:$A$41,M$4,'05 Support &amp; Income'!$F$5:$F$41)*IF(SUMIF('08 Allocation Data'!$A$5:$A$34,$A9,'08 Allocation Data'!$L$5:$L$34)&gt;0,SUMIF('08 Allocation Data'!$A$5:$A$34,$A9,'08 Allocation Data'!$L$5:$L$34),IFERROR((1-SUM('08 Allocation Data'!$L$5:$L$34))*C9/SUMIFS($C$5:$C$34,'08 Allocation Data'!$L$5:$L$34,0),0)),IFERROR(SUMIF('05 Support &amp; Income'!$A$5:$A$41,M$4,'05 Support &amp; Income'!$F$5:$F$41)*IF('07 Support Drivers'!$D$13="Headcount",SUMIF('08 Allocation Data'!$A$5:$A$34,$A9,'08 Allocation Data'!$D$5:$D$34),IF('07 Support Drivers'!$D$13="FTE",SUMIF('08 Allocation Data'!$A$5:$A$34,$A9,'08 Allocation Data'!$E$5:$E$34),IF('07 Support Drivers'!$D$13="Floor space",SUMIF('08 Allocation Data'!$A$5:$A$34,$A9,'08 Allocation Data'!$F$5:$F$34),IF('07 Support Drivers'!$D$13="Weighted floor space",SUMIF('08 Allocation Data'!$A$5:$A$34,$A9,'08 Allocation Data'!$I$5:$I$34),IF('07 Support Drivers'!$D$13="Cleaning hours",SUMIF('08 Allocation Data'!$A$5:$A$34,$A9,'08 Allocation Data'!$J$5:$J$34),IF('07 Support Drivers'!$D$13="Meals",SUMIF('08 Allocation Data'!$A$5:$A$34,$A9,'08 Allocation Data'!$K$5:$K$34),IF('07 Support Drivers'!$D$13="Direct costs",SUMIF('08 Allocation Data'!$A$5:$A$34,$A9,'08 Allocation Data'!$M$5:$M$34),0)))))))/'07 Support Drivers'!$G$13,0))</f>
        <v>0</v>
      </c>
      <c r="N9" s="55">
        <f>IF('07 Support Drivers'!$D$14="Two-stage finance",SUMIF('05 Support &amp; Income'!$A$5:$A$41,N$4,'05 Support &amp; Income'!$F$5:$F$41)*IF(SUMIF('08 Allocation Data'!$A$5:$A$34,$A9,'08 Allocation Data'!$L$5:$L$34)&gt;0,SUMIF('08 Allocation Data'!$A$5:$A$34,$A9,'08 Allocation Data'!$L$5:$L$34),IFERROR((1-SUM('08 Allocation Data'!$L$5:$L$34))*C9/SUMIFS($C$5:$C$34,'08 Allocation Data'!$L$5:$L$34,0),0)),IFERROR(SUMIF('05 Support &amp; Income'!$A$5:$A$41,N$4,'05 Support &amp; Income'!$F$5:$F$41)*IF('07 Support Drivers'!$D$14="Headcount",SUMIF('08 Allocation Data'!$A$5:$A$34,$A9,'08 Allocation Data'!$D$5:$D$34),IF('07 Support Drivers'!$D$14="FTE",SUMIF('08 Allocation Data'!$A$5:$A$34,$A9,'08 Allocation Data'!$E$5:$E$34),IF('07 Support Drivers'!$D$14="Floor space",SUMIF('08 Allocation Data'!$A$5:$A$34,$A9,'08 Allocation Data'!$F$5:$F$34),IF('07 Support Drivers'!$D$14="Weighted floor space",SUMIF('08 Allocation Data'!$A$5:$A$34,$A9,'08 Allocation Data'!$I$5:$I$34),IF('07 Support Drivers'!$D$14="Cleaning hours",SUMIF('08 Allocation Data'!$A$5:$A$34,$A9,'08 Allocation Data'!$J$5:$J$34),IF('07 Support Drivers'!$D$14="Meals",SUMIF('08 Allocation Data'!$A$5:$A$34,$A9,'08 Allocation Data'!$K$5:$K$34),IF('07 Support Drivers'!$D$14="Direct costs",SUMIF('08 Allocation Data'!$A$5:$A$34,$A9,'08 Allocation Data'!$M$5:$M$34),0)))))))/'07 Support Drivers'!$G$14,0))</f>
        <v>0</v>
      </c>
      <c r="O9" s="55">
        <f>IF('07 Support Drivers'!$D$15="Two-stage finance",SUMIF('05 Support &amp; Income'!$A$5:$A$41,O$4,'05 Support &amp; Income'!$F$5:$F$41)*IF(SUMIF('08 Allocation Data'!$A$5:$A$34,$A9,'08 Allocation Data'!$L$5:$L$34)&gt;0,SUMIF('08 Allocation Data'!$A$5:$A$34,$A9,'08 Allocation Data'!$L$5:$L$34),IFERROR((1-SUM('08 Allocation Data'!$L$5:$L$34))*C9/SUMIFS($C$5:$C$34,'08 Allocation Data'!$L$5:$L$34,0),0)),IFERROR(SUMIF('05 Support &amp; Income'!$A$5:$A$41,O$4,'05 Support &amp; Income'!$F$5:$F$41)*IF('07 Support Drivers'!$D$15="Headcount",SUMIF('08 Allocation Data'!$A$5:$A$34,$A9,'08 Allocation Data'!$D$5:$D$34),IF('07 Support Drivers'!$D$15="FTE",SUMIF('08 Allocation Data'!$A$5:$A$34,$A9,'08 Allocation Data'!$E$5:$E$34),IF('07 Support Drivers'!$D$15="Floor space",SUMIF('08 Allocation Data'!$A$5:$A$34,$A9,'08 Allocation Data'!$F$5:$F$34),IF('07 Support Drivers'!$D$15="Weighted floor space",SUMIF('08 Allocation Data'!$A$5:$A$34,$A9,'08 Allocation Data'!$I$5:$I$34),IF('07 Support Drivers'!$D$15="Cleaning hours",SUMIF('08 Allocation Data'!$A$5:$A$34,$A9,'08 Allocation Data'!$J$5:$J$34),IF('07 Support Drivers'!$D$15="Meals",SUMIF('08 Allocation Data'!$A$5:$A$34,$A9,'08 Allocation Data'!$K$5:$K$34),IF('07 Support Drivers'!$D$15="Direct costs",SUMIF('08 Allocation Data'!$A$5:$A$34,$A9,'08 Allocation Data'!$M$5:$M$34),0)))))))/'07 Support Drivers'!$G$15,0))</f>
        <v>0</v>
      </c>
      <c r="P9" s="55">
        <f>IF('07 Support Drivers'!$D$16="Two-stage finance",SUMIF('05 Support &amp; Income'!$A$5:$A$41,P$4,'05 Support &amp; Income'!$F$5:$F$41)*IF(SUMIF('08 Allocation Data'!$A$5:$A$34,$A9,'08 Allocation Data'!$L$5:$L$34)&gt;0,SUMIF('08 Allocation Data'!$A$5:$A$34,$A9,'08 Allocation Data'!$L$5:$L$34),IFERROR((1-SUM('08 Allocation Data'!$L$5:$L$34))*C9/SUMIFS($C$5:$C$34,'08 Allocation Data'!$L$5:$L$34,0),0)),IFERROR(SUMIF('05 Support &amp; Income'!$A$5:$A$41,P$4,'05 Support &amp; Income'!$F$5:$F$41)*IF('07 Support Drivers'!$D$16="Headcount",SUMIF('08 Allocation Data'!$A$5:$A$34,$A9,'08 Allocation Data'!$D$5:$D$34),IF('07 Support Drivers'!$D$16="FTE",SUMIF('08 Allocation Data'!$A$5:$A$34,$A9,'08 Allocation Data'!$E$5:$E$34),IF('07 Support Drivers'!$D$16="Floor space",SUMIF('08 Allocation Data'!$A$5:$A$34,$A9,'08 Allocation Data'!$F$5:$F$34),IF('07 Support Drivers'!$D$16="Weighted floor space",SUMIF('08 Allocation Data'!$A$5:$A$34,$A9,'08 Allocation Data'!$I$5:$I$34),IF('07 Support Drivers'!$D$16="Cleaning hours",SUMIF('08 Allocation Data'!$A$5:$A$34,$A9,'08 Allocation Data'!$J$5:$J$34),IF('07 Support Drivers'!$D$16="Meals",SUMIF('08 Allocation Data'!$A$5:$A$34,$A9,'08 Allocation Data'!$K$5:$K$34),IF('07 Support Drivers'!$D$16="Direct costs",SUMIF('08 Allocation Data'!$A$5:$A$34,$A9,'08 Allocation Data'!$M$5:$M$34),0)))))))/'07 Support Drivers'!$G$16,0))</f>
        <v>0</v>
      </c>
      <c r="Q9" s="55">
        <f>IF('07 Support Drivers'!$D$17="Two-stage finance",SUMIF('05 Support &amp; Income'!$A$5:$A$41,Q$4,'05 Support &amp; Income'!$F$5:$F$41)*IF(SUMIF('08 Allocation Data'!$A$5:$A$34,$A9,'08 Allocation Data'!$L$5:$L$34)&gt;0,SUMIF('08 Allocation Data'!$A$5:$A$34,$A9,'08 Allocation Data'!$L$5:$L$34),IFERROR((1-SUM('08 Allocation Data'!$L$5:$L$34))*C9/SUMIFS($C$5:$C$34,'08 Allocation Data'!$L$5:$L$34,0),0)),IFERROR(SUMIF('05 Support &amp; Income'!$A$5:$A$41,Q$4,'05 Support &amp; Income'!$F$5:$F$41)*IF('07 Support Drivers'!$D$17="Headcount",SUMIF('08 Allocation Data'!$A$5:$A$34,$A9,'08 Allocation Data'!$D$5:$D$34),IF('07 Support Drivers'!$D$17="FTE",SUMIF('08 Allocation Data'!$A$5:$A$34,$A9,'08 Allocation Data'!$E$5:$E$34),IF('07 Support Drivers'!$D$17="Floor space",SUMIF('08 Allocation Data'!$A$5:$A$34,$A9,'08 Allocation Data'!$F$5:$F$34),IF('07 Support Drivers'!$D$17="Weighted floor space",SUMIF('08 Allocation Data'!$A$5:$A$34,$A9,'08 Allocation Data'!$I$5:$I$34),IF('07 Support Drivers'!$D$17="Cleaning hours",SUMIF('08 Allocation Data'!$A$5:$A$34,$A9,'08 Allocation Data'!$J$5:$J$34),IF('07 Support Drivers'!$D$17="Meals",SUMIF('08 Allocation Data'!$A$5:$A$34,$A9,'08 Allocation Data'!$K$5:$K$34),IF('07 Support Drivers'!$D$17="Direct costs",SUMIF('08 Allocation Data'!$A$5:$A$34,$A9,'08 Allocation Data'!$M$5:$M$34),0)))))))/'07 Support Drivers'!$G$17,0))</f>
        <v>0</v>
      </c>
      <c r="R9" s="48">
        <f t="shared" si="0"/>
        <v>0</v>
      </c>
      <c r="S9" s="48">
        <f>SUMIF('04 Service Costs'!$A$5:$A$31,A9,'04 Service Costs'!$M$5:$M$31)+SUMIF('06 Shared Cost Pools'!$D$21:$D$260,A9,'06 Shared Cost Pools'!$I$21:$I$260)</f>
        <v>0</v>
      </c>
      <c r="T9" s="48">
        <f>SUMIF('04 Service Costs'!$A$5:$A$31,A9,'04 Service Costs'!$N$5:$N$31)+SUMIF('06 Shared Cost Pools'!$D$21:$D$260,A9,'06 Shared Cost Pools'!$J$21:$J$260)</f>
        <v>0</v>
      </c>
      <c r="U9" s="48">
        <f>SUMIF('04 Service Costs'!$A$5:$A$31,A9,'04 Service Costs'!$O$5:$O$31)+SUMIF('06 Shared Cost Pools'!$D$21:$D$260,A9,'06 Shared Cost Pools'!$K$21:$K$260)</f>
        <v>0</v>
      </c>
      <c r="V9" s="48">
        <f t="shared" si="1"/>
        <v>0</v>
      </c>
    </row>
    <row r="10" spans="1:22">
      <c r="A10" s="3" t="s">
        <v>125</v>
      </c>
      <c r="B10" s="3" t="s">
        <v>126</v>
      </c>
      <c r="C10" s="55">
        <f>SUMIF('04 Service Costs'!$A$5:$A$31,A10,'04 Service Costs'!$L$5:$L$31)+SUMIF('05 Support &amp; Income'!$A$5:$A$41,A10,'05 Support &amp; Income'!$F$5:$F$41)</f>
        <v>0</v>
      </c>
      <c r="D10" s="55">
        <f>SUMIF('06 Shared Cost Pools'!$D$21:$D$260,A10,'06 Shared Cost Pools'!$F$21:$F$260)</f>
        <v>0</v>
      </c>
      <c r="E10" s="55">
        <f>IF('07 Support Drivers'!$D$5="Two-stage finance",SUMIF('05 Support &amp; Income'!$A$5:$A$41,E$4,'05 Support &amp; Income'!$F$5:$F$41)*IF(SUMIF('08 Allocation Data'!$A$5:$A$34,$A10,'08 Allocation Data'!$L$5:$L$34)&gt;0,SUMIF('08 Allocation Data'!$A$5:$A$34,$A10,'08 Allocation Data'!$L$5:$L$34),IFERROR((1-SUM('08 Allocation Data'!$L$5:$L$34))*C10/SUMIFS($C$5:$C$34,'08 Allocation Data'!$L$5:$L$34,0),0)),IFERROR(SUMIF('05 Support &amp; Income'!$A$5:$A$41,E$4,'05 Support &amp; Income'!$F$5:$F$41)*IF('07 Support Drivers'!$D$5="Headcount",SUMIF('08 Allocation Data'!$A$5:$A$34,$A10,'08 Allocation Data'!$D$5:$D$34),IF('07 Support Drivers'!$D$5="FTE",SUMIF('08 Allocation Data'!$A$5:$A$34,$A10,'08 Allocation Data'!$E$5:$E$34),IF('07 Support Drivers'!$D$5="Floor space",SUMIF('08 Allocation Data'!$A$5:$A$34,$A10,'08 Allocation Data'!$F$5:$F$34),IF('07 Support Drivers'!$D$5="Weighted floor space",SUMIF('08 Allocation Data'!$A$5:$A$34,$A10,'08 Allocation Data'!$I$5:$I$34),IF('07 Support Drivers'!$D$5="Cleaning hours",SUMIF('08 Allocation Data'!$A$5:$A$34,$A10,'08 Allocation Data'!$J$5:$J$34),IF('07 Support Drivers'!$D$5="Meals",SUMIF('08 Allocation Data'!$A$5:$A$34,$A10,'08 Allocation Data'!$K$5:$K$34),IF('07 Support Drivers'!$D$5="Direct costs",SUMIF('08 Allocation Data'!$A$5:$A$34,$A10,'08 Allocation Data'!$M$5:$M$34),0)))))))/'07 Support Drivers'!$G$5,0))</f>
        <v>0</v>
      </c>
      <c r="F10" s="55">
        <f>IF('07 Support Drivers'!$D$6="Two-stage finance",SUMIF('05 Support &amp; Income'!$A$5:$A$41,F$4,'05 Support &amp; Income'!$F$5:$F$41)*IF(SUMIF('08 Allocation Data'!$A$5:$A$34,$A10,'08 Allocation Data'!$L$5:$L$34)&gt;0,SUMIF('08 Allocation Data'!$A$5:$A$34,$A10,'08 Allocation Data'!$L$5:$L$34),IFERROR((1-SUM('08 Allocation Data'!$L$5:$L$34))*C10/SUMIFS($C$5:$C$34,'08 Allocation Data'!$L$5:$L$34,0),0)),IFERROR(SUMIF('05 Support &amp; Income'!$A$5:$A$41,F$4,'05 Support &amp; Income'!$F$5:$F$41)*IF('07 Support Drivers'!$D$6="Headcount",SUMIF('08 Allocation Data'!$A$5:$A$34,$A10,'08 Allocation Data'!$D$5:$D$34),IF('07 Support Drivers'!$D$6="FTE",SUMIF('08 Allocation Data'!$A$5:$A$34,$A10,'08 Allocation Data'!$E$5:$E$34),IF('07 Support Drivers'!$D$6="Floor space",SUMIF('08 Allocation Data'!$A$5:$A$34,$A10,'08 Allocation Data'!$F$5:$F$34),IF('07 Support Drivers'!$D$6="Weighted floor space",SUMIF('08 Allocation Data'!$A$5:$A$34,$A10,'08 Allocation Data'!$I$5:$I$34),IF('07 Support Drivers'!$D$6="Cleaning hours",SUMIF('08 Allocation Data'!$A$5:$A$34,$A10,'08 Allocation Data'!$J$5:$J$34),IF('07 Support Drivers'!$D$6="Meals",SUMIF('08 Allocation Data'!$A$5:$A$34,$A10,'08 Allocation Data'!$K$5:$K$34),IF('07 Support Drivers'!$D$6="Direct costs",SUMIF('08 Allocation Data'!$A$5:$A$34,$A10,'08 Allocation Data'!$M$5:$M$34),0)))))))/'07 Support Drivers'!$G$6,0))</f>
        <v>0</v>
      </c>
      <c r="G10" s="55">
        <f>IF('07 Support Drivers'!$D$7="Two-stage finance",SUMIF('05 Support &amp; Income'!$A$5:$A$41,G$4,'05 Support &amp; Income'!$F$5:$F$41)*IF(SUMIF('08 Allocation Data'!$A$5:$A$34,$A10,'08 Allocation Data'!$L$5:$L$34)&gt;0,SUMIF('08 Allocation Data'!$A$5:$A$34,$A10,'08 Allocation Data'!$L$5:$L$34),IFERROR((1-SUM('08 Allocation Data'!$L$5:$L$34))*C10/SUMIFS($C$5:$C$34,'08 Allocation Data'!$L$5:$L$34,0),0)),IFERROR(SUMIF('05 Support &amp; Income'!$A$5:$A$41,G$4,'05 Support &amp; Income'!$F$5:$F$41)*IF('07 Support Drivers'!$D$7="Headcount",SUMIF('08 Allocation Data'!$A$5:$A$34,$A10,'08 Allocation Data'!$D$5:$D$34),IF('07 Support Drivers'!$D$7="FTE",SUMIF('08 Allocation Data'!$A$5:$A$34,$A10,'08 Allocation Data'!$E$5:$E$34),IF('07 Support Drivers'!$D$7="Floor space",SUMIF('08 Allocation Data'!$A$5:$A$34,$A10,'08 Allocation Data'!$F$5:$F$34),IF('07 Support Drivers'!$D$7="Weighted floor space",SUMIF('08 Allocation Data'!$A$5:$A$34,$A10,'08 Allocation Data'!$I$5:$I$34),IF('07 Support Drivers'!$D$7="Cleaning hours",SUMIF('08 Allocation Data'!$A$5:$A$34,$A10,'08 Allocation Data'!$J$5:$J$34),IF('07 Support Drivers'!$D$7="Meals",SUMIF('08 Allocation Data'!$A$5:$A$34,$A10,'08 Allocation Data'!$K$5:$K$34),IF('07 Support Drivers'!$D$7="Direct costs",SUMIF('08 Allocation Data'!$A$5:$A$34,$A10,'08 Allocation Data'!$M$5:$M$34),0)))))))/'07 Support Drivers'!$G$7,0))</f>
        <v>0</v>
      </c>
      <c r="H10" s="55">
        <f>IF('07 Support Drivers'!$D$8="Two-stage finance",SUMIF('05 Support &amp; Income'!$A$5:$A$41,H$4,'05 Support &amp; Income'!$F$5:$F$41)*IF(SUMIF('08 Allocation Data'!$A$5:$A$34,$A10,'08 Allocation Data'!$L$5:$L$34)&gt;0,SUMIF('08 Allocation Data'!$A$5:$A$34,$A10,'08 Allocation Data'!$L$5:$L$34),IFERROR((1-SUM('08 Allocation Data'!$L$5:$L$34))*C10/SUMIFS($C$5:$C$34,'08 Allocation Data'!$L$5:$L$34,0),0)),IFERROR(SUMIF('05 Support &amp; Income'!$A$5:$A$41,H$4,'05 Support &amp; Income'!$F$5:$F$41)*IF('07 Support Drivers'!$D$8="Headcount",SUMIF('08 Allocation Data'!$A$5:$A$34,$A10,'08 Allocation Data'!$D$5:$D$34),IF('07 Support Drivers'!$D$8="FTE",SUMIF('08 Allocation Data'!$A$5:$A$34,$A10,'08 Allocation Data'!$E$5:$E$34),IF('07 Support Drivers'!$D$8="Floor space",SUMIF('08 Allocation Data'!$A$5:$A$34,$A10,'08 Allocation Data'!$F$5:$F$34),IF('07 Support Drivers'!$D$8="Weighted floor space",SUMIF('08 Allocation Data'!$A$5:$A$34,$A10,'08 Allocation Data'!$I$5:$I$34),IF('07 Support Drivers'!$D$8="Cleaning hours",SUMIF('08 Allocation Data'!$A$5:$A$34,$A10,'08 Allocation Data'!$J$5:$J$34),IF('07 Support Drivers'!$D$8="Meals",SUMIF('08 Allocation Data'!$A$5:$A$34,$A10,'08 Allocation Data'!$K$5:$K$34),IF('07 Support Drivers'!$D$8="Direct costs",SUMIF('08 Allocation Data'!$A$5:$A$34,$A10,'08 Allocation Data'!$M$5:$M$34),0)))))))/'07 Support Drivers'!$G$8,0))</f>
        <v>0</v>
      </c>
      <c r="I10" s="55">
        <f>IF('07 Support Drivers'!$D$9="Two-stage finance",SUMIF('05 Support &amp; Income'!$A$5:$A$41,I$4,'05 Support &amp; Income'!$F$5:$F$41)*IF(SUMIF('08 Allocation Data'!$A$5:$A$34,$A10,'08 Allocation Data'!$L$5:$L$34)&gt;0,SUMIF('08 Allocation Data'!$A$5:$A$34,$A10,'08 Allocation Data'!$L$5:$L$34),IFERROR((1-SUM('08 Allocation Data'!$L$5:$L$34))*C10/SUMIFS($C$5:$C$34,'08 Allocation Data'!$L$5:$L$34,0),0)),IFERROR(SUMIF('05 Support &amp; Income'!$A$5:$A$41,I$4,'05 Support &amp; Income'!$F$5:$F$41)*IF('07 Support Drivers'!$D$9="Headcount",SUMIF('08 Allocation Data'!$A$5:$A$34,$A10,'08 Allocation Data'!$D$5:$D$34),IF('07 Support Drivers'!$D$9="FTE",SUMIF('08 Allocation Data'!$A$5:$A$34,$A10,'08 Allocation Data'!$E$5:$E$34),IF('07 Support Drivers'!$D$9="Floor space",SUMIF('08 Allocation Data'!$A$5:$A$34,$A10,'08 Allocation Data'!$F$5:$F$34),IF('07 Support Drivers'!$D$9="Weighted floor space",SUMIF('08 Allocation Data'!$A$5:$A$34,$A10,'08 Allocation Data'!$I$5:$I$34),IF('07 Support Drivers'!$D$9="Cleaning hours",SUMIF('08 Allocation Data'!$A$5:$A$34,$A10,'08 Allocation Data'!$J$5:$J$34),IF('07 Support Drivers'!$D$9="Meals",SUMIF('08 Allocation Data'!$A$5:$A$34,$A10,'08 Allocation Data'!$K$5:$K$34),IF('07 Support Drivers'!$D$9="Direct costs",SUMIF('08 Allocation Data'!$A$5:$A$34,$A10,'08 Allocation Data'!$M$5:$M$34),0)))))))/'07 Support Drivers'!$G$9,0))</f>
        <v>0</v>
      </c>
      <c r="J10" s="55">
        <f>IF('07 Support Drivers'!$D$10="Two-stage finance",SUMIF('05 Support &amp; Income'!$A$5:$A$41,J$4,'05 Support &amp; Income'!$F$5:$F$41)*IF(SUMIF('08 Allocation Data'!$A$5:$A$34,$A10,'08 Allocation Data'!$L$5:$L$34)&gt;0,SUMIF('08 Allocation Data'!$A$5:$A$34,$A10,'08 Allocation Data'!$L$5:$L$34),IFERROR((1-SUM('08 Allocation Data'!$L$5:$L$34))*C10/SUMIFS($C$5:$C$34,'08 Allocation Data'!$L$5:$L$34,0),0)),IFERROR(SUMIF('05 Support &amp; Income'!$A$5:$A$41,J$4,'05 Support &amp; Income'!$F$5:$F$41)*IF('07 Support Drivers'!$D$10="Headcount",SUMIF('08 Allocation Data'!$A$5:$A$34,$A10,'08 Allocation Data'!$D$5:$D$34),IF('07 Support Drivers'!$D$10="FTE",SUMIF('08 Allocation Data'!$A$5:$A$34,$A10,'08 Allocation Data'!$E$5:$E$34),IF('07 Support Drivers'!$D$10="Floor space",SUMIF('08 Allocation Data'!$A$5:$A$34,$A10,'08 Allocation Data'!$F$5:$F$34),IF('07 Support Drivers'!$D$10="Weighted floor space",SUMIF('08 Allocation Data'!$A$5:$A$34,$A10,'08 Allocation Data'!$I$5:$I$34),IF('07 Support Drivers'!$D$10="Cleaning hours",SUMIF('08 Allocation Data'!$A$5:$A$34,$A10,'08 Allocation Data'!$J$5:$J$34),IF('07 Support Drivers'!$D$10="Meals",SUMIF('08 Allocation Data'!$A$5:$A$34,$A10,'08 Allocation Data'!$K$5:$K$34),IF('07 Support Drivers'!$D$10="Direct costs",SUMIF('08 Allocation Data'!$A$5:$A$34,$A10,'08 Allocation Data'!$M$5:$M$34),0)))))))/'07 Support Drivers'!$G$10,0))</f>
        <v>0</v>
      </c>
      <c r="K10" s="55">
        <f>IF('07 Support Drivers'!$D$11="Two-stage finance",SUMIF('05 Support &amp; Income'!$A$5:$A$41,K$4,'05 Support &amp; Income'!$F$5:$F$41)*IF(SUMIF('08 Allocation Data'!$A$5:$A$34,$A10,'08 Allocation Data'!$L$5:$L$34)&gt;0,SUMIF('08 Allocation Data'!$A$5:$A$34,$A10,'08 Allocation Data'!$L$5:$L$34),IFERROR((1-SUM('08 Allocation Data'!$L$5:$L$34))*C10/SUMIFS($C$5:$C$34,'08 Allocation Data'!$L$5:$L$34,0),0)),IFERROR(SUMIF('05 Support &amp; Income'!$A$5:$A$41,K$4,'05 Support &amp; Income'!$F$5:$F$41)*IF('07 Support Drivers'!$D$11="Headcount",SUMIF('08 Allocation Data'!$A$5:$A$34,$A10,'08 Allocation Data'!$D$5:$D$34),IF('07 Support Drivers'!$D$11="FTE",SUMIF('08 Allocation Data'!$A$5:$A$34,$A10,'08 Allocation Data'!$E$5:$E$34),IF('07 Support Drivers'!$D$11="Floor space",SUMIF('08 Allocation Data'!$A$5:$A$34,$A10,'08 Allocation Data'!$F$5:$F$34),IF('07 Support Drivers'!$D$11="Weighted floor space",SUMIF('08 Allocation Data'!$A$5:$A$34,$A10,'08 Allocation Data'!$I$5:$I$34),IF('07 Support Drivers'!$D$11="Cleaning hours",SUMIF('08 Allocation Data'!$A$5:$A$34,$A10,'08 Allocation Data'!$J$5:$J$34),IF('07 Support Drivers'!$D$11="Meals",SUMIF('08 Allocation Data'!$A$5:$A$34,$A10,'08 Allocation Data'!$K$5:$K$34),IF('07 Support Drivers'!$D$11="Direct costs",SUMIF('08 Allocation Data'!$A$5:$A$34,$A10,'08 Allocation Data'!$M$5:$M$34),0)))))))/'07 Support Drivers'!$G$11,0))</f>
        <v>0</v>
      </c>
      <c r="L10" s="55">
        <f>IF('07 Support Drivers'!$D$12="Two-stage finance",SUMIF('05 Support &amp; Income'!$A$5:$A$41,L$4,'05 Support &amp; Income'!$F$5:$F$41)*IF(SUMIF('08 Allocation Data'!$A$5:$A$34,$A10,'08 Allocation Data'!$L$5:$L$34)&gt;0,SUMIF('08 Allocation Data'!$A$5:$A$34,$A10,'08 Allocation Data'!$L$5:$L$34),IFERROR((1-SUM('08 Allocation Data'!$L$5:$L$34))*C10/SUMIFS($C$5:$C$34,'08 Allocation Data'!$L$5:$L$34,0),0)),IFERROR(SUMIF('05 Support &amp; Income'!$A$5:$A$41,L$4,'05 Support &amp; Income'!$F$5:$F$41)*IF('07 Support Drivers'!$D$12="Headcount",SUMIF('08 Allocation Data'!$A$5:$A$34,$A10,'08 Allocation Data'!$D$5:$D$34),IF('07 Support Drivers'!$D$12="FTE",SUMIF('08 Allocation Data'!$A$5:$A$34,$A10,'08 Allocation Data'!$E$5:$E$34),IF('07 Support Drivers'!$D$12="Floor space",SUMIF('08 Allocation Data'!$A$5:$A$34,$A10,'08 Allocation Data'!$F$5:$F$34),IF('07 Support Drivers'!$D$12="Weighted floor space",SUMIF('08 Allocation Data'!$A$5:$A$34,$A10,'08 Allocation Data'!$I$5:$I$34),IF('07 Support Drivers'!$D$12="Cleaning hours",SUMIF('08 Allocation Data'!$A$5:$A$34,$A10,'08 Allocation Data'!$J$5:$J$34),IF('07 Support Drivers'!$D$12="Meals",SUMIF('08 Allocation Data'!$A$5:$A$34,$A10,'08 Allocation Data'!$K$5:$K$34),IF('07 Support Drivers'!$D$12="Direct costs",SUMIF('08 Allocation Data'!$A$5:$A$34,$A10,'08 Allocation Data'!$M$5:$M$34),0)))))))/'07 Support Drivers'!$G$12,0))</f>
        <v>0</v>
      </c>
      <c r="M10" s="55">
        <f>IF('07 Support Drivers'!$D$13="Two-stage finance",SUMIF('05 Support &amp; Income'!$A$5:$A$41,M$4,'05 Support &amp; Income'!$F$5:$F$41)*IF(SUMIF('08 Allocation Data'!$A$5:$A$34,$A10,'08 Allocation Data'!$L$5:$L$34)&gt;0,SUMIF('08 Allocation Data'!$A$5:$A$34,$A10,'08 Allocation Data'!$L$5:$L$34),IFERROR((1-SUM('08 Allocation Data'!$L$5:$L$34))*C10/SUMIFS($C$5:$C$34,'08 Allocation Data'!$L$5:$L$34,0),0)),IFERROR(SUMIF('05 Support &amp; Income'!$A$5:$A$41,M$4,'05 Support &amp; Income'!$F$5:$F$41)*IF('07 Support Drivers'!$D$13="Headcount",SUMIF('08 Allocation Data'!$A$5:$A$34,$A10,'08 Allocation Data'!$D$5:$D$34),IF('07 Support Drivers'!$D$13="FTE",SUMIF('08 Allocation Data'!$A$5:$A$34,$A10,'08 Allocation Data'!$E$5:$E$34),IF('07 Support Drivers'!$D$13="Floor space",SUMIF('08 Allocation Data'!$A$5:$A$34,$A10,'08 Allocation Data'!$F$5:$F$34),IF('07 Support Drivers'!$D$13="Weighted floor space",SUMIF('08 Allocation Data'!$A$5:$A$34,$A10,'08 Allocation Data'!$I$5:$I$34),IF('07 Support Drivers'!$D$13="Cleaning hours",SUMIF('08 Allocation Data'!$A$5:$A$34,$A10,'08 Allocation Data'!$J$5:$J$34),IF('07 Support Drivers'!$D$13="Meals",SUMIF('08 Allocation Data'!$A$5:$A$34,$A10,'08 Allocation Data'!$K$5:$K$34),IF('07 Support Drivers'!$D$13="Direct costs",SUMIF('08 Allocation Data'!$A$5:$A$34,$A10,'08 Allocation Data'!$M$5:$M$34),0)))))))/'07 Support Drivers'!$G$13,0))</f>
        <v>0</v>
      </c>
      <c r="N10" s="55">
        <f>IF('07 Support Drivers'!$D$14="Two-stage finance",SUMIF('05 Support &amp; Income'!$A$5:$A$41,N$4,'05 Support &amp; Income'!$F$5:$F$41)*IF(SUMIF('08 Allocation Data'!$A$5:$A$34,$A10,'08 Allocation Data'!$L$5:$L$34)&gt;0,SUMIF('08 Allocation Data'!$A$5:$A$34,$A10,'08 Allocation Data'!$L$5:$L$34),IFERROR((1-SUM('08 Allocation Data'!$L$5:$L$34))*C10/SUMIFS($C$5:$C$34,'08 Allocation Data'!$L$5:$L$34,0),0)),IFERROR(SUMIF('05 Support &amp; Income'!$A$5:$A$41,N$4,'05 Support &amp; Income'!$F$5:$F$41)*IF('07 Support Drivers'!$D$14="Headcount",SUMIF('08 Allocation Data'!$A$5:$A$34,$A10,'08 Allocation Data'!$D$5:$D$34),IF('07 Support Drivers'!$D$14="FTE",SUMIF('08 Allocation Data'!$A$5:$A$34,$A10,'08 Allocation Data'!$E$5:$E$34),IF('07 Support Drivers'!$D$14="Floor space",SUMIF('08 Allocation Data'!$A$5:$A$34,$A10,'08 Allocation Data'!$F$5:$F$34),IF('07 Support Drivers'!$D$14="Weighted floor space",SUMIF('08 Allocation Data'!$A$5:$A$34,$A10,'08 Allocation Data'!$I$5:$I$34),IF('07 Support Drivers'!$D$14="Cleaning hours",SUMIF('08 Allocation Data'!$A$5:$A$34,$A10,'08 Allocation Data'!$J$5:$J$34),IF('07 Support Drivers'!$D$14="Meals",SUMIF('08 Allocation Data'!$A$5:$A$34,$A10,'08 Allocation Data'!$K$5:$K$34),IF('07 Support Drivers'!$D$14="Direct costs",SUMIF('08 Allocation Data'!$A$5:$A$34,$A10,'08 Allocation Data'!$M$5:$M$34),0)))))))/'07 Support Drivers'!$G$14,0))</f>
        <v>0</v>
      </c>
      <c r="O10" s="55">
        <f>IF('07 Support Drivers'!$D$15="Two-stage finance",SUMIF('05 Support &amp; Income'!$A$5:$A$41,O$4,'05 Support &amp; Income'!$F$5:$F$41)*IF(SUMIF('08 Allocation Data'!$A$5:$A$34,$A10,'08 Allocation Data'!$L$5:$L$34)&gt;0,SUMIF('08 Allocation Data'!$A$5:$A$34,$A10,'08 Allocation Data'!$L$5:$L$34),IFERROR((1-SUM('08 Allocation Data'!$L$5:$L$34))*C10/SUMIFS($C$5:$C$34,'08 Allocation Data'!$L$5:$L$34,0),0)),IFERROR(SUMIF('05 Support &amp; Income'!$A$5:$A$41,O$4,'05 Support &amp; Income'!$F$5:$F$41)*IF('07 Support Drivers'!$D$15="Headcount",SUMIF('08 Allocation Data'!$A$5:$A$34,$A10,'08 Allocation Data'!$D$5:$D$34),IF('07 Support Drivers'!$D$15="FTE",SUMIF('08 Allocation Data'!$A$5:$A$34,$A10,'08 Allocation Data'!$E$5:$E$34),IF('07 Support Drivers'!$D$15="Floor space",SUMIF('08 Allocation Data'!$A$5:$A$34,$A10,'08 Allocation Data'!$F$5:$F$34),IF('07 Support Drivers'!$D$15="Weighted floor space",SUMIF('08 Allocation Data'!$A$5:$A$34,$A10,'08 Allocation Data'!$I$5:$I$34),IF('07 Support Drivers'!$D$15="Cleaning hours",SUMIF('08 Allocation Data'!$A$5:$A$34,$A10,'08 Allocation Data'!$J$5:$J$34),IF('07 Support Drivers'!$D$15="Meals",SUMIF('08 Allocation Data'!$A$5:$A$34,$A10,'08 Allocation Data'!$K$5:$K$34),IF('07 Support Drivers'!$D$15="Direct costs",SUMIF('08 Allocation Data'!$A$5:$A$34,$A10,'08 Allocation Data'!$M$5:$M$34),0)))))))/'07 Support Drivers'!$G$15,0))</f>
        <v>0</v>
      </c>
      <c r="P10" s="55">
        <f>IF('07 Support Drivers'!$D$16="Two-stage finance",SUMIF('05 Support &amp; Income'!$A$5:$A$41,P$4,'05 Support &amp; Income'!$F$5:$F$41)*IF(SUMIF('08 Allocation Data'!$A$5:$A$34,$A10,'08 Allocation Data'!$L$5:$L$34)&gt;0,SUMIF('08 Allocation Data'!$A$5:$A$34,$A10,'08 Allocation Data'!$L$5:$L$34),IFERROR((1-SUM('08 Allocation Data'!$L$5:$L$34))*C10/SUMIFS($C$5:$C$34,'08 Allocation Data'!$L$5:$L$34,0),0)),IFERROR(SUMIF('05 Support &amp; Income'!$A$5:$A$41,P$4,'05 Support &amp; Income'!$F$5:$F$41)*IF('07 Support Drivers'!$D$16="Headcount",SUMIF('08 Allocation Data'!$A$5:$A$34,$A10,'08 Allocation Data'!$D$5:$D$34),IF('07 Support Drivers'!$D$16="FTE",SUMIF('08 Allocation Data'!$A$5:$A$34,$A10,'08 Allocation Data'!$E$5:$E$34),IF('07 Support Drivers'!$D$16="Floor space",SUMIF('08 Allocation Data'!$A$5:$A$34,$A10,'08 Allocation Data'!$F$5:$F$34),IF('07 Support Drivers'!$D$16="Weighted floor space",SUMIF('08 Allocation Data'!$A$5:$A$34,$A10,'08 Allocation Data'!$I$5:$I$34),IF('07 Support Drivers'!$D$16="Cleaning hours",SUMIF('08 Allocation Data'!$A$5:$A$34,$A10,'08 Allocation Data'!$J$5:$J$34),IF('07 Support Drivers'!$D$16="Meals",SUMIF('08 Allocation Data'!$A$5:$A$34,$A10,'08 Allocation Data'!$K$5:$K$34),IF('07 Support Drivers'!$D$16="Direct costs",SUMIF('08 Allocation Data'!$A$5:$A$34,$A10,'08 Allocation Data'!$M$5:$M$34),0)))))))/'07 Support Drivers'!$G$16,0))</f>
        <v>0</v>
      </c>
      <c r="Q10" s="55">
        <f>IF('07 Support Drivers'!$D$17="Two-stage finance",SUMIF('05 Support &amp; Income'!$A$5:$A$41,Q$4,'05 Support &amp; Income'!$F$5:$F$41)*IF(SUMIF('08 Allocation Data'!$A$5:$A$34,$A10,'08 Allocation Data'!$L$5:$L$34)&gt;0,SUMIF('08 Allocation Data'!$A$5:$A$34,$A10,'08 Allocation Data'!$L$5:$L$34),IFERROR((1-SUM('08 Allocation Data'!$L$5:$L$34))*C10/SUMIFS($C$5:$C$34,'08 Allocation Data'!$L$5:$L$34,0),0)),IFERROR(SUMIF('05 Support &amp; Income'!$A$5:$A$41,Q$4,'05 Support &amp; Income'!$F$5:$F$41)*IF('07 Support Drivers'!$D$17="Headcount",SUMIF('08 Allocation Data'!$A$5:$A$34,$A10,'08 Allocation Data'!$D$5:$D$34),IF('07 Support Drivers'!$D$17="FTE",SUMIF('08 Allocation Data'!$A$5:$A$34,$A10,'08 Allocation Data'!$E$5:$E$34),IF('07 Support Drivers'!$D$17="Floor space",SUMIF('08 Allocation Data'!$A$5:$A$34,$A10,'08 Allocation Data'!$F$5:$F$34),IF('07 Support Drivers'!$D$17="Weighted floor space",SUMIF('08 Allocation Data'!$A$5:$A$34,$A10,'08 Allocation Data'!$I$5:$I$34),IF('07 Support Drivers'!$D$17="Cleaning hours",SUMIF('08 Allocation Data'!$A$5:$A$34,$A10,'08 Allocation Data'!$J$5:$J$34),IF('07 Support Drivers'!$D$17="Meals",SUMIF('08 Allocation Data'!$A$5:$A$34,$A10,'08 Allocation Data'!$K$5:$K$34),IF('07 Support Drivers'!$D$17="Direct costs",SUMIF('08 Allocation Data'!$A$5:$A$34,$A10,'08 Allocation Data'!$M$5:$M$34),0)))))))/'07 Support Drivers'!$G$17,0))</f>
        <v>0</v>
      </c>
      <c r="R10" s="48">
        <f t="shared" si="0"/>
        <v>0</v>
      </c>
      <c r="S10" s="48">
        <f>SUMIF('04 Service Costs'!$A$5:$A$31,A10,'04 Service Costs'!$M$5:$M$31)+SUMIF('06 Shared Cost Pools'!$D$21:$D$260,A10,'06 Shared Cost Pools'!$I$21:$I$260)</f>
        <v>0</v>
      </c>
      <c r="T10" s="48">
        <f>SUMIF('04 Service Costs'!$A$5:$A$31,A10,'04 Service Costs'!$N$5:$N$31)+SUMIF('06 Shared Cost Pools'!$D$21:$D$260,A10,'06 Shared Cost Pools'!$J$21:$J$260)</f>
        <v>0</v>
      </c>
      <c r="U10" s="48">
        <f>SUMIF('04 Service Costs'!$A$5:$A$31,A10,'04 Service Costs'!$O$5:$O$31)+SUMIF('06 Shared Cost Pools'!$D$21:$D$260,A10,'06 Shared Cost Pools'!$K$21:$K$260)</f>
        <v>0</v>
      </c>
      <c r="V10" s="48">
        <f t="shared" si="1"/>
        <v>0</v>
      </c>
    </row>
    <row r="11" spans="1:22">
      <c r="A11" s="3" t="s">
        <v>127</v>
      </c>
      <c r="B11" s="3" t="s">
        <v>128</v>
      </c>
      <c r="C11" s="55">
        <f>SUMIF('04 Service Costs'!$A$5:$A$31,A11,'04 Service Costs'!$L$5:$L$31)+SUMIF('05 Support &amp; Income'!$A$5:$A$41,A11,'05 Support &amp; Income'!$F$5:$F$41)</f>
        <v>0</v>
      </c>
      <c r="D11" s="55">
        <f>SUMIF('06 Shared Cost Pools'!$D$21:$D$260,A11,'06 Shared Cost Pools'!$F$21:$F$260)</f>
        <v>0</v>
      </c>
      <c r="E11" s="55">
        <f>IF('07 Support Drivers'!$D$5="Two-stage finance",SUMIF('05 Support &amp; Income'!$A$5:$A$41,E$4,'05 Support &amp; Income'!$F$5:$F$41)*IF(SUMIF('08 Allocation Data'!$A$5:$A$34,$A11,'08 Allocation Data'!$L$5:$L$34)&gt;0,SUMIF('08 Allocation Data'!$A$5:$A$34,$A11,'08 Allocation Data'!$L$5:$L$34),IFERROR((1-SUM('08 Allocation Data'!$L$5:$L$34))*C11/SUMIFS($C$5:$C$34,'08 Allocation Data'!$L$5:$L$34,0),0)),IFERROR(SUMIF('05 Support &amp; Income'!$A$5:$A$41,E$4,'05 Support &amp; Income'!$F$5:$F$41)*IF('07 Support Drivers'!$D$5="Headcount",SUMIF('08 Allocation Data'!$A$5:$A$34,$A11,'08 Allocation Data'!$D$5:$D$34),IF('07 Support Drivers'!$D$5="FTE",SUMIF('08 Allocation Data'!$A$5:$A$34,$A11,'08 Allocation Data'!$E$5:$E$34),IF('07 Support Drivers'!$D$5="Floor space",SUMIF('08 Allocation Data'!$A$5:$A$34,$A11,'08 Allocation Data'!$F$5:$F$34),IF('07 Support Drivers'!$D$5="Weighted floor space",SUMIF('08 Allocation Data'!$A$5:$A$34,$A11,'08 Allocation Data'!$I$5:$I$34),IF('07 Support Drivers'!$D$5="Cleaning hours",SUMIF('08 Allocation Data'!$A$5:$A$34,$A11,'08 Allocation Data'!$J$5:$J$34),IF('07 Support Drivers'!$D$5="Meals",SUMIF('08 Allocation Data'!$A$5:$A$34,$A11,'08 Allocation Data'!$K$5:$K$34),IF('07 Support Drivers'!$D$5="Direct costs",SUMIF('08 Allocation Data'!$A$5:$A$34,$A11,'08 Allocation Data'!$M$5:$M$34),0)))))))/'07 Support Drivers'!$G$5,0))</f>
        <v>0</v>
      </c>
      <c r="F11" s="55">
        <f>IF('07 Support Drivers'!$D$6="Two-stage finance",SUMIF('05 Support &amp; Income'!$A$5:$A$41,F$4,'05 Support &amp; Income'!$F$5:$F$41)*IF(SUMIF('08 Allocation Data'!$A$5:$A$34,$A11,'08 Allocation Data'!$L$5:$L$34)&gt;0,SUMIF('08 Allocation Data'!$A$5:$A$34,$A11,'08 Allocation Data'!$L$5:$L$34),IFERROR((1-SUM('08 Allocation Data'!$L$5:$L$34))*C11/SUMIFS($C$5:$C$34,'08 Allocation Data'!$L$5:$L$34,0),0)),IFERROR(SUMIF('05 Support &amp; Income'!$A$5:$A$41,F$4,'05 Support &amp; Income'!$F$5:$F$41)*IF('07 Support Drivers'!$D$6="Headcount",SUMIF('08 Allocation Data'!$A$5:$A$34,$A11,'08 Allocation Data'!$D$5:$D$34),IF('07 Support Drivers'!$D$6="FTE",SUMIF('08 Allocation Data'!$A$5:$A$34,$A11,'08 Allocation Data'!$E$5:$E$34),IF('07 Support Drivers'!$D$6="Floor space",SUMIF('08 Allocation Data'!$A$5:$A$34,$A11,'08 Allocation Data'!$F$5:$F$34),IF('07 Support Drivers'!$D$6="Weighted floor space",SUMIF('08 Allocation Data'!$A$5:$A$34,$A11,'08 Allocation Data'!$I$5:$I$34),IF('07 Support Drivers'!$D$6="Cleaning hours",SUMIF('08 Allocation Data'!$A$5:$A$34,$A11,'08 Allocation Data'!$J$5:$J$34),IF('07 Support Drivers'!$D$6="Meals",SUMIF('08 Allocation Data'!$A$5:$A$34,$A11,'08 Allocation Data'!$K$5:$K$34),IF('07 Support Drivers'!$D$6="Direct costs",SUMIF('08 Allocation Data'!$A$5:$A$34,$A11,'08 Allocation Data'!$M$5:$M$34),0)))))))/'07 Support Drivers'!$G$6,0))</f>
        <v>0</v>
      </c>
      <c r="G11" s="55">
        <f>IF('07 Support Drivers'!$D$7="Two-stage finance",SUMIF('05 Support &amp; Income'!$A$5:$A$41,G$4,'05 Support &amp; Income'!$F$5:$F$41)*IF(SUMIF('08 Allocation Data'!$A$5:$A$34,$A11,'08 Allocation Data'!$L$5:$L$34)&gt;0,SUMIF('08 Allocation Data'!$A$5:$A$34,$A11,'08 Allocation Data'!$L$5:$L$34),IFERROR((1-SUM('08 Allocation Data'!$L$5:$L$34))*C11/SUMIFS($C$5:$C$34,'08 Allocation Data'!$L$5:$L$34,0),0)),IFERROR(SUMIF('05 Support &amp; Income'!$A$5:$A$41,G$4,'05 Support &amp; Income'!$F$5:$F$41)*IF('07 Support Drivers'!$D$7="Headcount",SUMIF('08 Allocation Data'!$A$5:$A$34,$A11,'08 Allocation Data'!$D$5:$D$34),IF('07 Support Drivers'!$D$7="FTE",SUMIF('08 Allocation Data'!$A$5:$A$34,$A11,'08 Allocation Data'!$E$5:$E$34),IF('07 Support Drivers'!$D$7="Floor space",SUMIF('08 Allocation Data'!$A$5:$A$34,$A11,'08 Allocation Data'!$F$5:$F$34),IF('07 Support Drivers'!$D$7="Weighted floor space",SUMIF('08 Allocation Data'!$A$5:$A$34,$A11,'08 Allocation Data'!$I$5:$I$34),IF('07 Support Drivers'!$D$7="Cleaning hours",SUMIF('08 Allocation Data'!$A$5:$A$34,$A11,'08 Allocation Data'!$J$5:$J$34),IF('07 Support Drivers'!$D$7="Meals",SUMIF('08 Allocation Data'!$A$5:$A$34,$A11,'08 Allocation Data'!$K$5:$K$34),IF('07 Support Drivers'!$D$7="Direct costs",SUMIF('08 Allocation Data'!$A$5:$A$34,$A11,'08 Allocation Data'!$M$5:$M$34),0)))))))/'07 Support Drivers'!$G$7,0))</f>
        <v>0</v>
      </c>
      <c r="H11" s="55">
        <f>IF('07 Support Drivers'!$D$8="Two-stage finance",SUMIF('05 Support &amp; Income'!$A$5:$A$41,H$4,'05 Support &amp; Income'!$F$5:$F$41)*IF(SUMIF('08 Allocation Data'!$A$5:$A$34,$A11,'08 Allocation Data'!$L$5:$L$34)&gt;0,SUMIF('08 Allocation Data'!$A$5:$A$34,$A11,'08 Allocation Data'!$L$5:$L$34),IFERROR((1-SUM('08 Allocation Data'!$L$5:$L$34))*C11/SUMIFS($C$5:$C$34,'08 Allocation Data'!$L$5:$L$34,0),0)),IFERROR(SUMIF('05 Support &amp; Income'!$A$5:$A$41,H$4,'05 Support &amp; Income'!$F$5:$F$41)*IF('07 Support Drivers'!$D$8="Headcount",SUMIF('08 Allocation Data'!$A$5:$A$34,$A11,'08 Allocation Data'!$D$5:$D$34),IF('07 Support Drivers'!$D$8="FTE",SUMIF('08 Allocation Data'!$A$5:$A$34,$A11,'08 Allocation Data'!$E$5:$E$34),IF('07 Support Drivers'!$D$8="Floor space",SUMIF('08 Allocation Data'!$A$5:$A$34,$A11,'08 Allocation Data'!$F$5:$F$34),IF('07 Support Drivers'!$D$8="Weighted floor space",SUMIF('08 Allocation Data'!$A$5:$A$34,$A11,'08 Allocation Data'!$I$5:$I$34),IF('07 Support Drivers'!$D$8="Cleaning hours",SUMIF('08 Allocation Data'!$A$5:$A$34,$A11,'08 Allocation Data'!$J$5:$J$34),IF('07 Support Drivers'!$D$8="Meals",SUMIF('08 Allocation Data'!$A$5:$A$34,$A11,'08 Allocation Data'!$K$5:$K$34),IF('07 Support Drivers'!$D$8="Direct costs",SUMIF('08 Allocation Data'!$A$5:$A$34,$A11,'08 Allocation Data'!$M$5:$M$34),0)))))))/'07 Support Drivers'!$G$8,0))</f>
        <v>0</v>
      </c>
      <c r="I11" s="55">
        <f>IF('07 Support Drivers'!$D$9="Two-stage finance",SUMIF('05 Support &amp; Income'!$A$5:$A$41,I$4,'05 Support &amp; Income'!$F$5:$F$41)*IF(SUMIF('08 Allocation Data'!$A$5:$A$34,$A11,'08 Allocation Data'!$L$5:$L$34)&gt;0,SUMIF('08 Allocation Data'!$A$5:$A$34,$A11,'08 Allocation Data'!$L$5:$L$34),IFERROR((1-SUM('08 Allocation Data'!$L$5:$L$34))*C11/SUMIFS($C$5:$C$34,'08 Allocation Data'!$L$5:$L$34,0),0)),IFERROR(SUMIF('05 Support &amp; Income'!$A$5:$A$41,I$4,'05 Support &amp; Income'!$F$5:$F$41)*IF('07 Support Drivers'!$D$9="Headcount",SUMIF('08 Allocation Data'!$A$5:$A$34,$A11,'08 Allocation Data'!$D$5:$D$34),IF('07 Support Drivers'!$D$9="FTE",SUMIF('08 Allocation Data'!$A$5:$A$34,$A11,'08 Allocation Data'!$E$5:$E$34),IF('07 Support Drivers'!$D$9="Floor space",SUMIF('08 Allocation Data'!$A$5:$A$34,$A11,'08 Allocation Data'!$F$5:$F$34),IF('07 Support Drivers'!$D$9="Weighted floor space",SUMIF('08 Allocation Data'!$A$5:$A$34,$A11,'08 Allocation Data'!$I$5:$I$34),IF('07 Support Drivers'!$D$9="Cleaning hours",SUMIF('08 Allocation Data'!$A$5:$A$34,$A11,'08 Allocation Data'!$J$5:$J$34),IF('07 Support Drivers'!$D$9="Meals",SUMIF('08 Allocation Data'!$A$5:$A$34,$A11,'08 Allocation Data'!$K$5:$K$34),IF('07 Support Drivers'!$D$9="Direct costs",SUMIF('08 Allocation Data'!$A$5:$A$34,$A11,'08 Allocation Data'!$M$5:$M$34),0)))))))/'07 Support Drivers'!$G$9,0))</f>
        <v>0</v>
      </c>
      <c r="J11" s="55">
        <f>IF('07 Support Drivers'!$D$10="Two-stage finance",SUMIF('05 Support &amp; Income'!$A$5:$A$41,J$4,'05 Support &amp; Income'!$F$5:$F$41)*IF(SUMIF('08 Allocation Data'!$A$5:$A$34,$A11,'08 Allocation Data'!$L$5:$L$34)&gt;0,SUMIF('08 Allocation Data'!$A$5:$A$34,$A11,'08 Allocation Data'!$L$5:$L$34),IFERROR((1-SUM('08 Allocation Data'!$L$5:$L$34))*C11/SUMIFS($C$5:$C$34,'08 Allocation Data'!$L$5:$L$34,0),0)),IFERROR(SUMIF('05 Support &amp; Income'!$A$5:$A$41,J$4,'05 Support &amp; Income'!$F$5:$F$41)*IF('07 Support Drivers'!$D$10="Headcount",SUMIF('08 Allocation Data'!$A$5:$A$34,$A11,'08 Allocation Data'!$D$5:$D$34),IF('07 Support Drivers'!$D$10="FTE",SUMIF('08 Allocation Data'!$A$5:$A$34,$A11,'08 Allocation Data'!$E$5:$E$34),IF('07 Support Drivers'!$D$10="Floor space",SUMIF('08 Allocation Data'!$A$5:$A$34,$A11,'08 Allocation Data'!$F$5:$F$34),IF('07 Support Drivers'!$D$10="Weighted floor space",SUMIF('08 Allocation Data'!$A$5:$A$34,$A11,'08 Allocation Data'!$I$5:$I$34),IF('07 Support Drivers'!$D$10="Cleaning hours",SUMIF('08 Allocation Data'!$A$5:$A$34,$A11,'08 Allocation Data'!$J$5:$J$34),IF('07 Support Drivers'!$D$10="Meals",SUMIF('08 Allocation Data'!$A$5:$A$34,$A11,'08 Allocation Data'!$K$5:$K$34),IF('07 Support Drivers'!$D$10="Direct costs",SUMIF('08 Allocation Data'!$A$5:$A$34,$A11,'08 Allocation Data'!$M$5:$M$34),0)))))))/'07 Support Drivers'!$G$10,0))</f>
        <v>0</v>
      </c>
      <c r="K11" s="55">
        <f>IF('07 Support Drivers'!$D$11="Two-stage finance",SUMIF('05 Support &amp; Income'!$A$5:$A$41,K$4,'05 Support &amp; Income'!$F$5:$F$41)*IF(SUMIF('08 Allocation Data'!$A$5:$A$34,$A11,'08 Allocation Data'!$L$5:$L$34)&gt;0,SUMIF('08 Allocation Data'!$A$5:$A$34,$A11,'08 Allocation Data'!$L$5:$L$34),IFERROR((1-SUM('08 Allocation Data'!$L$5:$L$34))*C11/SUMIFS($C$5:$C$34,'08 Allocation Data'!$L$5:$L$34,0),0)),IFERROR(SUMIF('05 Support &amp; Income'!$A$5:$A$41,K$4,'05 Support &amp; Income'!$F$5:$F$41)*IF('07 Support Drivers'!$D$11="Headcount",SUMIF('08 Allocation Data'!$A$5:$A$34,$A11,'08 Allocation Data'!$D$5:$D$34),IF('07 Support Drivers'!$D$11="FTE",SUMIF('08 Allocation Data'!$A$5:$A$34,$A11,'08 Allocation Data'!$E$5:$E$34),IF('07 Support Drivers'!$D$11="Floor space",SUMIF('08 Allocation Data'!$A$5:$A$34,$A11,'08 Allocation Data'!$F$5:$F$34),IF('07 Support Drivers'!$D$11="Weighted floor space",SUMIF('08 Allocation Data'!$A$5:$A$34,$A11,'08 Allocation Data'!$I$5:$I$34),IF('07 Support Drivers'!$D$11="Cleaning hours",SUMIF('08 Allocation Data'!$A$5:$A$34,$A11,'08 Allocation Data'!$J$5:$J$34),IF('07 Support Drivers'!$D$11="Meals",SUMIF('08 Allocation Data'!$A$5:$A$34,$A11,'08 Allocation Data'!$K$5:$K$34),IF('07 Support Drivers'!$D$11="Direct costs",SUMIF('08 Allocation Data'!$A$5:$A$34,$A11,'08 Allocation Data'!$M$5:$M$34),0)))))))/'07 Support Drivers'!$G$11,0))</f>
        <v>0</v>
      </c>
      <c r="L11" s="55">
        <f>IF('07 Support Drivers'!$D$12="Two-stage finance",SUMIF('05 Support &amp; Income'!$A$5:$A$41,L$4,'05 Support &amp; Income'!$F$5:$F$41)*IF(SUMIF('08 Allocation Data'!$A$5:$A$34,$A11,'08 Allocation Data'!$L$5:$L$34)&gt;0,SUMIF('08 Allocation Data'!$A$5:$A$34,$A11,'08 Allocation Data'!$L$5:$L$34),IFERROR((1-SUM('08 Allocation Data'!$L$5:$L$34))*C11/SUMIFS($C$5:$C$34,'08 Allocation Data'!$L$5:$L$34,0),0)),IFERROR(SUMIF('05 Support &amp; Income'!$A$5:$A$41,L$4,'05 Support &amp; Income'!$F$5:$F$41)*IF('07 Support Drivers'!$D$12="Headcount",SUMIF('08 Allocation Data'!$A$5:$A$34,$A11,'08 Allocation Data'!$D$5:$D$34),IF('07 Support Drivers'!$D$12="FTE",SUMIF('08 Allocation Data'!$A$5:$A$34,$A11,'08 Allocation Data'!$E$5:$E$34),IF('07 Support Drivers'!$D$12="Floor space",SUMIF('08 Allocation Data'!$A$5:$A$34,$A11,'08 Allocation Data'!$F$5:$F$34),IF('07 Support Drivers'!$D$12="Weighted floor space",SUMIF('08 Allocation Data'!$A$5:$A$34,$A11,'08 Allocation Data'!$I$5:$I$34),IF('07 Support Drivers'!$D$12="Cleaning hours",SUMIF('08 Allocation Data'!$A$5:$A$34,$A11,'08 Allocation Data'!$J$5:$J$34),IF('07 Support Drivers'!$D$12="Meals",SUMIF('08 Allocation Data'!$A$5:$A$34,$A11,'08 Allocation Data'!$K$5:$K$34),IF('07 Support Drivers'!$D$12="Direct costs",SUMIF('08 Allocation Data'!$A$5:$A$34,$A11,'08 Allocation Data'!$M$5:$M$34),0)))))))/'07 Support Drivers'!$G$12,0))</f>
        <v>0</v>
      </c>
      <c r="M11" s="55">
        <f>IF('07 Support Drivers'!$D$13="Two-stage finance",SUMIF('05 Support &amp; Income'!$A$5:$A$41,M$4,'05 Support &amp; Income'!$F$5:$F$41)*IF(SUMIF('08 Allocation Data'!$A$5:$A$34,$A11,'08 Allocation Data'!$L$5:$L$34)&gt;0,SUMIF('08 Allocation Data'!$A$5:$A$34,$A11,'08 Allocation Data'!$L$5:$L$34),IFERROR((1-SUM('08 Allocation Data'!$L$5:$L$34))*C11/SUMIFS($C$5:$C$34,'08 Allocation Data'!$L$5:$L$34,0),0)),IFERROR(SUMIF('05 Support &amp; Income'!$A$5:$A$41,M$4,'05 Support &amp; Income'!$F$5:$F$41)*IF('07 Support Drivers'!$D$13="Headcount",SUMIF('08 Allocation Data'!$A$5:$A$34,$A11,'08 Allocation Data'!$D$5:$D$34),IF('07 Support Drivers'!$D$13="FTE",SUMIF('08 Allocation Data'!$A$5:$A$34,$A11,'08 Allocation Data'!$E$5:$E$34),IF('07 Support Drivers'!$D$13="Floor space",SUMIF('08 Allocation Data'!$A$5:$A$34,$A11,'08 Allocation Data'!$F$5:$F$34),IF('07 Support Drivers'!$D$13="Weighted floor space",SUMIF('08 Allocation Data'!$A$5:$A$34,$A11,'08 Allocation Data'!$I$5:$I$34),IF('07 Support Drivers'!$D$13="Cleaning hours",SUMIF('08 Allocation Data'!$A$5:$A$34,$A11,'08 Allocation Data'!$J$5:$J$34),IF('07 Support Drivers'!$D$13="Meals",SUMIF('08 Allocation Data'!$A$5:$A$34,$A11,'08 Allocation Data'!$K$5:$K$34),IF('07 Support Drivers'!$D$13="Direct costs",SUMIF('08 Allocation Data'!$A$5:$A$34,$A11,'08 Allocation Data'!$M$5:$M$34),0)))))))/'07 Support Drivers'!$G$13,0))</f>
        <v>0</v>
      </c>
      <c r="N11" s="55">
        <f>IF('07 Support Drivers'!$D$14="Two-stage finance",SUMIF('05 Support &amp; Income'!$A$5:$A$41,N$4,'05 Support &amp; Income'!$F$5:$F$41)*IF(SUMIF('08 Allocation Data'!$A$5:$A$34,$A11,'08 Allocation Data'!$L$5:$L$34)&gt;0,SUMIF('08 Allocation Data'!$A$5:$A$34,$A11,'08 Allocation Data'!$L$5:$L$34),IFERROR((1-SUM('08 Allocation Data'!$L$5:$L$34))*C11/SUMIFS($C$5:$C$34,'08 Allocation Data'!$L$5:$L$34,0),0)),IFERROR(SUMIF('05 Support &amp; Income'!$A$5:$A$41,N$4,'05 Support &amp; Income'!$F$5:$F$41)*IF('07 Support Drivers'!$D$14="Headcount",SUMIF('08 Allocation Data'!$A$5:$A$34,$A11,'08 Allocation Data'!$D$5:$D$34),IF('07 Support Drivers'!$D$14="FTE",SUMIF('08 Allocation Data'!$A$5:$A$34,$A11,'08 Allocation Data'!$E$5:$E$34),IF('07 Support Drivers'!$D$14="Floor space",SUMIF('08 Allocation Data'!$A$5:$A$34,$A11,'08 Allocation Data'!$F$5:$F$34),IF('07 Support Drivers'!$D$14="Weighted floor space",SUMIF('08 Allocation Data'!$A$5:$A$34,$A11,'08 Allocation Data'!$I$5:$I$34),IF('07 Support Drivers'!$D$14="Cleaning hours",SUMIF('08 Allocation Data'!$A$5:$A$34,$A11,'08 Allocation Data'!$J$5:$J$34),IF('07 Support Drivers'!$D$14="Meals",SUMIF('08 Allocation Data'!$A$5:$A$34,$A11,'08 Allocation Data'!$K$5:$K$34),IF('07 Support Drivers'!$D$14="Direct costs",SUMIF('08 Allocation Data'!$A$5:$A$34,$A11,'08 Allocation Data'!$M$5:$M$34),0)))))))/'07 Support Drivers'!$G$14,0))</f>
        <v>0</v>
      </c>
      <c r="O11" s="55">
        <f>IF('07 Support Drivers'!$D$15="Two-stage finance",SUMIF('05 Support &amp; Income'!$A$5:$A$41,O$4,'05 Support &amp; Income'!$F$5:$F$41)*IF(SUMIF('08 Allocation Data'!$A$5:$A$34,$A11,'08 Allocation Data'!$L$5:$L$34)&gt;0,SUMIF('08 Allocation Data'!$A$5:$A$34,$A11,'08 Allocation Data'!$L$5:$L$34),IFERROR((1-SUM('08 Allocation Data'!$L$5:$L$34))*C11/SUMIFS($C$5:$C$34,'08 Allocation Data'!$L$5:$L$34,0),0)),IFERROR(SUMIF('05 Support &amp; Income'!$A$5:$A$41,O$4,'05 Support &amp; Income'!$F$5:$F$41)*IF('07 Support Drivers'!$D$15="Headcount",SUMIF('08 Allocation Data'!$A$5:$A$34,$A11,'08 Allocation Data'!$D$5:$D$34),IF('07 Support Drivers'!$D$15="FTE",SUMIF('08 Allocation Data'!$A$5:$A$34,$A11,'08 Allocation Data'!$E$5:$E$34),IF('07 Support Drivers'!$D$15="Floor space",SUMIF('08 Allocation Data'!$A$5:$A$34,$A11,'08 Allocation Data'!$F$5:$F$34),IF('07 Support Drivers'!$D$15="Weighted floor space",SUMIF('08 Allocation Data'!$A$5:$A$34,$A11,'08 Allocation Data'!$I$5:$I$34),IF('07 Support Drivers'!$D$15="Cleaning hours",SUMIF('08 Allocation Data'!$A$5:$A$34,$A11,'08 Allocation Data'!$J$5:$J$34),IF('07 Support Drivers'!$D$15="Meals",SUMIF('08 Allocation Data'!$A$5:$A$34,$A11,'08 Allocation Data'!$K$5:$K$34),IF('07 Support Drivers'!$D$15="Direct costs",SUMIF('08 Allocation Data'!$A$5:$A$34,$A11,'08 Allocation Data'!$M$5:$M$34),0)))))))/'07 Support Drivers'!$G$15,0))</f>
        <v>0</v>
      </c>
      <c r="P11" s="55">
        <f>IF('07 Support Drivers'!$D$16="Two-stage finance",SUMIF('05 Support &amp; Income'!$A$5:$A$41,P$4,'05 Support &amp; Income'!$F$5:$F$41)*IF(SUMIF('08 Allocation Data'!$A$5:$A$34,$A11,'08 Allocation Data'!$L$5:$L$34)&gt;0,SUMIF('08 Allocation Data'!$A$5:$A$34,$A11,'08 Allocation Data'!$L$5:$L$34),IFERROR((1-SUM('08 Allocation Data'!$L$5:$L$34))*C11/SUMIFS($C$5:$C$34,'08 Allocation Data'!$L$5:$L$34,0),0)),IFERROR(SUMIF('05 Support &amp; Income'!$A$5:$A$41,P$4,'05 Support &amp; Income'!$F$5:$F$41)*IF('07 Support Drivers'!$D$16="Headcount",SUMIF('08 Allocation Data'!$A$5:$A$34,$A11,'08 Allocation Data'!$D$5:$D$34),IF('07 Support Drivers'!$D$16="FTE",SUMIF('08 Allocation Data'!$A$5:$A$34,$A11,'08 Allocation Data'!$E$5:$E$34),IF('07 Support Drivers'!$D$16="Floor space",SUMIF('08 Allocation Data'!$A$5:$A$34,$A11,'08 Allocation Data'!$F$5:$F$34),IF('07 Support Drivers'!$D$16="Weighted floor space",SUMIF('08 Allocation Data'!$A$5:$A$34,$A11,'08 Allocation Data'!$I$5:$I$34),IF('07 Support Drivers'!$D$16="Cleaning hours",SUMIF('08 Allocation Data'!$A$5:$A$34,$A11,'08 Allocation Data'!$J$5:$J$34),IF('07 Support Drivers'!$D$16="Meals",SUMIF('08 Allocation Data'!$A$5:$A$34,$A11,'08 Allocation Data'!$K$5:$K$34),IF('07 Support Drivers'!$D$16="Direct costs",SUMIF('08 Allocation Data'!$A$5:$A$34,$A11,'08 Allocation Data'!$M$5:$M$34),0)))))))/'07 Support Drivers'!$G$16,0))</f>
        <v>0</v>
      </c>
      <c r="Q11" s="55">
        <f>IF('07 Support Drivers'!$D$17="Two-stage finance",SUMIF('05 Support &amp; Income'!$A$5:$A$41,Q$4,'05 Support &amp; Income'!$F$5:$F$41)*IF(SUMIF('08 Allocation Data'!$A$5:$A$34,$A11,'08 Allocation Data'!$L$5:$L$34)&gt;0,SUMIF('08 Allocation Data'!$A$5:$A$34,$A11,'08 Allocation Data'!$L$5:$L$34),IFERROR((1-SUM('08 Allocation Data'!$L$5:$L$34))*C11/SUMIFS($C$5:$C$34,'08 Allocation Data'!$L$5:$L$34,0),0)),IFERROR(SUMIF('05 Support &amp; Income'!$A$5:$A$41,Q$4,'05 Support &amp; Income'!$F$5:$F$41)*IF('07 Support Drivers'!$D$17="Headcount",SUMIF('08 Allocation Data'!$A$5:$A$34,$A11,'08 Allocation Data'!$D$5:$D$34),IF('07 Support Drivers'!$D$17="FTE",SUMIF('08 Allocation Data'!$A$5:$A$34,$A11,'08 Allocation Data'!$E$5:$E$34),IF('07 Support Drivers'!$D$17="Floor space",SUMIF('08 Allocation Data'!$A$5:$A$34,$A11,'08 Allocation Data'!$F$5:$F$34),IF('07 Support Drivers'!$D$17="Weighted floor space",SUMIF('08 Allocation Data'!$A$5:$A$34,$A11,'08 Allocation Data'!$I$5:$I$34),IF('07 Support Drivers'!$D$17="Cleaning hours",SUMIF('08 Allocation Data'!$A$5:$A$34,$A11,'08 Allocation Data'!$J$5:$J$34),IF('07 Support Drivers'!$D$17="Meals",SUMIF('08 Allocation Data'!$A$5:$A$34,$A11,'08 Allocation Data'!$K$5:$K$34),IF('07 Support Drivers'!$D$17="Direct costs",SUMIF('08 Allocation Data'!$A$5:$A$34,$A11,'08 Allocation Data'!$M$5:$M$34),0)))))))/'07 Support Drivers'!$G$17,0))</f>
        <v>0</v>
      </c>
      <c r="R11" s="48">
        <f t="shared" si="0"/>
        <v>0</v>
      </c>
      <c r="S11" s="48">
        <f>SUMIF('04 Service Costs'!$A$5:$A$31,A11,'04 Service Costs'!$M$5:$M$31)+SUMIF('06 Shared Cost Pools'!$D$21:$D$260,A11,'06 Shared Cost Pools'!$I$21:$I$260)</f>
        <v>0</v>
      </c>
      <c r="T11" s="48">
        <f>SUMIF('04 Service Costs'!$A$5:$A$31,A11,'04 Service Costs'!$N$5:$N$31)+SUMIF('06 Shared Cost Pools'!$D$21:$D$260,A11,'06 Shared Cost Pools'!$J$21:$J$260)</f>
        <v>0</v>
      </c>
      <c r="U11" s="48">
        <f>SUMIF('04 Service Costs'!$A$5:$A$31,A11,'04 Service Costs'!$O$5:$O$31)+SUMIF('06 Shared Cost Pools'!$D$21:$D$260,A11,'06 Shared Cost Pools'!$K$21:$K$260)</f>
        <v>0</v>
      </c>
      <c r="V11" s="48">
        <f t="shared" si="1"/>
        <v>0</v>
      </c>
    </row>
    <row r="12" spans="1:22">
      <c r="A12" s="3" t="s">
        <v>129</v>
      </c>
      <c r="B12" s="3" t="s">
        <v>131</v>
      </c>
      <c r="C12" s="55">
        <f>SUMIF('04 Service Costs'!$A$5:$A$31,A12,'04 Service Costs'!$L$5:$L$31)+SUMIF('05 Support &amp; Income'!$A$5:$A$41,A12,'05 Support &amp; Income'!$F$5:$F$41)</f>
        <v>0</v>
      </c>
      <c r="D12" s="55">
        <f>SUMIF('06 Shared Cost Pools'!$D$21:$D$260,A12,'06 Shared Cost Pools'!$F$21:$F$260)</f>
        <v>0</v>
      </c>
      <c r="E12" s="55">
        <f>IF('07 Support Drivers'!$D$5="Two-stage finance",SUMIF('05 Support &amp; Income'!$A$5:$A$41,E$4,'05 Support &amp; Income'!$F$5:$F$41)*IF(SUMIF('08 Allocation Data'!$A$5:$A$34,$A12,'08 Allocation Data'!$L$5:$L$34)&gt;0,SUMIF('08 Allocation Data'!$A$5:$A$34,$A12,'08 Allocation Data'!$L$5:$L$34),IFERROR((1-SUM('08 Allocation Data'!$L$5:$L$34))*C12/SUMIFS($C$5:$C$34,'08 Allocation Data'!$L$5:$L$34,0),0)),IFERROR(SUMIF('05 Support &amp; Income'!$A$5:$A$41,E$4,'05 Support &amp; Income'!$F$5:$F$41)*IF('07 Support Drivers'!$D$5="Headcount",SUMIF('08 Allocation Data'!$A$5:$A$34,$A12,'08 Allocation Data'!$D$5:$D$34),IF('07 Support Drivers'!$D$5="FTE",SUMIF('08 Allocation Data'!$A$5:$A$34,$A12,'08 Allocation Data'!$E$5:$E$34),IF('07 Support Drivers'!$D$5="Floor space",SUMIF('08 Allocation Data'!$A$5:$A$34,$A12,'08 Allocation Data'!$F$5:$F$34),IF('07 Support Drivers'!$D$5="Weighted floor space",SUMIF('08 Allocation Data'!$A$5:$A$34,$A12,'08 Allocation Data'!$I$5:$I$34),IF('07 Support Drivers'!$D$5="Cleaning hours",SUMIF('08 Allocation Data'!$A$5:$A$34,$A12,'08 Allocation Data'!$J$5:$J$34),IF('07 Support Drivers'!$D$5="Meals",SUMIF('08 Allocation Data'!$A$5:$A$34,$A12,'08 Allocation Data'!$K$5:$K$34),IF('07 Support Drivers'!$D$5="Direct costs",SUMIF('08 Allocation Data'!$A$5:$A$34,$A12,'08 Allocation Data'!$M$5:$M$34),0)))))))/'07 Support Drivers'!$G$5,0))</f>
        <v>0</v>
      </c>
      <c r="F12" s="55">
        <f>IF('07 Support Drivers'!$D$6="Two-stage finance",SUMIF('05 Support &amp; Income'!$A$5:$A$41,F$4,'05 Support &amp; Income'!$F$5:$F$41)*IF(SUMIF('08 Allocation Data'!$A$5:$A$34,$A12,'08 Allocation Data'!$L$5:$L$34)&gt;0,SUMIF('08 Allocation Data'!$A$5:$A$34,$A12,'08 Allocation Data'!$L$5:$L$34),IFERROR((1-SUM('08 Allocation Data'!$L$5:$L$34))*C12/SUMIFS($C$5:$C$34,'08 Allocation Data'!$L$5:$L$34,0),0)),IFERROR(SUMIF('05 Support &amp; Income'!$A$5:$A$41,F$4,'05 Support &amp; Income'!$F$5:$F$41)*IF('07 Support Drivers'!$D$6="Headcount",SUMIF('08 Allocation Data'!$A$5:$A$34,$A12,'08 Allocation Data'!$D$5:$D$34),IF('07 Support Drivers'!$D$6="FTE",SUMIF('08 Allocation Data'!$A$5:$A$34,$A12,'08 Allocation Data'!$E$5:$E$34),IF('07 Support Drivers'!$D$6="Floor space",SUMIF('08 Allocation Data'!$A$5:$A$34,$A12,'08 Allocation Data'!$F$5:$F$34),IF('07 Support Drivers'!$D$6="Weighted floor space",SUMIF('08 Allocation Data'!$A$5:$A$34,$A12,'08 Allocation Data'!$I$5:$I$34),IF('07 Support Drivers'!$D$6="Cleaning hours",SUMIF('08 Allocation Data'!$A$5:$A$34,$A12,'08 Allocation Data'!$J$5:$J$34),IF('07 Support Drivers'!$D$6="Meals",SUMIF('08 Allocation Data'!$A$5:$A$34,$A12,'08 Allocation Data'!$K$5:$K$34),IF('07 Support Drivers'!$D$6="Direct costs",SUMIF('08 Allocation Data'!$A$5:$A$34,$A12,'08 Allocation Data'!$M$5:$M$34),0)))))))/'07 Support Drivers'!$G$6,0))</f>
        <v>0</v>
      </c>
      <c r="G12" s="55">
        <f>IF('07 Support Drivers'!$D$7="Two-stage finance",SUMIF('05 Support &amp; Income'!$A$5:$A$41,G$4,'05 Support &amp; Income'!$F$5:$F$41)*IF(SUMIF('08 Allocation Data'!$A$5:$A$34,$A12,'08 Allocation Data'!$L$5:$L$34)&gt;0,SUMIF('08 Allocation Data'!$A$5:$A$34,$A12,'08 Allocation Data'!$L$5:$L$34),IFERROR((1-SUM('08 Allocation Data'!$L$5:$L$34))*C12/SUMIFS($C$5:$C$34,'08 Allocation Data'!$L$5:$L$34,0),0)),IFERROR(SUMIF('05 Support &amp; Income'!$A$5:$A$41,G$4,'05 Support &amp; Income'!$F$5:$F$41)*IF('07 Support Drivers'!$D$7="Headcount",SUMIF('08 Allocation Data'!$A$5:$A$34,$A12,'08 Allocation Data'!$D$5:$D$34),IF('07 Support Drivers'!$D$7="FTE",SUMIF('08 Allocation Data'!$A$5:$A$34,$A12,'08 Allocation Data'!$E$5:$E$34),IF('07 Support Drivers'!$D$7="Floor space",SUMIF('08 Allocation Data'!$A$5:$A$34,$A12,'08 Allocation Data'!$F$5:$F$34),IF('07 Support Drivers'!$D$7="Weighted floor space",SUMIF('08 Allocation Data'!$A$5:$A$34,$A12,'08 Allocation Data'!$I$5:$I$34),IF('07 Support Drivers'!$D$7="Cleaning hours",SUMIF('08 Allocation Data'!$A$5:$A$34,$A12,'08 Allocation Data'!$J$5:$J$34),IF('07 Support Drivers'!$D$7="Meals",SUMIF('08 Allocation Data'!$A$5:$A$34,$A12,'08 Allocation Data'!$K$5:$K$34),IF('07 Support Drivers'!$D$7="Direct costs",SUMIF('08 Allocation Data'!$A$5:$A$34,$A12,'08 Allocation Data'!$M$5:$M$34),0)))))))/'07 Support Drivers'!$G$7,0))</f>
        <v>0</v>
      </c>
      <c r="H12" s="55">
        <f>IF('07 Support Drivers'!$D$8="Two-stage finance",SUMIF('05 Support &amp; Income'!$A$5:$A$41,H$4,'05 Support &amp; Income'!$F$5:$F$41)*IF(SUMIF('08 Allocation Data'!$A$5:$A$34,$A12,'08 Allocation Data'!$L$5:$L$34)&gt;0,SUMIF('08 Allocation Data'!$A$5:$A$34,$A12,'08 Allocation Data'!$L$5:$L$34),IFERROR((1-SUM('08 Allocation Data'!$L$5:$L$34))*C12/SUMIFS($C$5:$C$34,'08 Allocation Data'!$L$5:$L$34,0),0)),IFERROR(SUMIF('05 Support &amp; Income'!$A$5:$A$41,H$4,'05 Support &amp; Income'!$F$5:$F$41)*IF('07 Support Drivers'!$D$8="Headcount",SUMIF('08 Allocation Data'!$A$5:$A$34,$A12,'08 Allocation Data'!$D$5:$D$34),IF('07 Support Drivers'!$D$8="FTE",SUMIF('08 Allocation Data'!$A$5:$A$34,$A12,'08 Allocation Data'!$E$5:$E$34),IF('07 Support Drivers'!$D$8="Floor space",SUMIF('08 Allocation Data'!$A$5:$A$34,$A12,'08 Allocation Data'!$F$5:$F$34),IF('07 Support Drivers'!$D$8="Weighted floor space",SUMIF('08 Allocation Data'!$A$5:$A$34,$A12,'08 Allocation Data'!$I$5:$I$34),IF('07 Support Drivers'!$D$8="Cleaning hours",SUMIF('08 Allocation Data'!$A$5:$A$34,$A12,'08 Allocation Data'!$J$5:$J$34),IF('07 Support Drivers'!$D$8="Meals",SUMIF('08 Allocation Data'!$A$5:$A$34,$A12,'08 Allocation Data'!$K$5:$K$34),IF('07 Support Drivers'!$D$8="Direct costs",SUMIF('08 Allocation Data'!$A$5:$A$34,$A12,'08 Allocation Data'!$M$5:$M$34),0)))))))/'07 Support Drivers'!$G$8,0))</f>
        <v>0</v>
      </c>
      <c r="I12" s="55">
        <f>IF('07 Support Drivers'!$D$9="Two-stage finance",SUMIF('05 Support &amp; Income'!$A$5:$A$41,I$4,'05 Support &amp; Income'!$F$5:$F$41)*IF(SUMIF('08 Allocation Data'!$A$5:$A$34,$A12,'08 Allocation Data'!$L$5:$L$34)&gt;0,SUMIF('08 Allocation Data'!$A$5:$A$34,$A12,'08 Allocation Data'!$L$5:$L$34),IFERROR((1-SUM('08 Allocation Data'!$L$5:$L$34))*C12/SUMIFS($C$5:$C$34,'08 Allocation Data'!$L$5:$L$34,0),0)),IFERROR(SUMIF('05 Support &amp; Income'!$A$5:$A$41,I$4,'05 Support &amp; Income'!$F$5:$F$41)*IF('07 Support Drivers'!$D$9="Headcount",SUMIF('08 Allocation Data'!$A$5:$A$34,$A12,'08 Allocation Data'!$D$5:$D$34),IF('07 Support Drivers'!$D$9="FTE",SUMIF('08 Allocation Data'!$A$5:$A$34,$A12,'08 Allocation Data'!$E$5:$E$34),IF('07 Support Drivers'!$D$9="Floor space",SUMIF('08 Allocation Data'!$A$5:$A$34,$A12,'08 Allocation Data'!$F$5:$F$34),IF('07 Support Drivers'!$D$9="Weighted floor space",SUMIF('08 Allocation Data'!$A$5:$A$34,$A12,'08 Allocation Data'!$I$5:$I$34),IF('07 Support Drivers'!$D$9="Cleaning hours",SUMIF('08 Allocation Data'!$A$5:$A$34,$A12,'08 Allocation Data'!$J$5:$J$34),IF('07 Support Drivers'!$D$9="Meals",SUMIF('08 Allocation Data'!$A$5:$A$34,$A12,'08 Allocation Data'!$K$5:$K$34),IF('07 Support Drivers'!$D$9="Direct costs",SUMIF('08 Allocation Data'!$A$5:$A$34,$A12,'08 Allocation Data'!$M$5:$M$34),0)))))))/'07 Support Drivers'!$G$9,0))</f>
        <v>0</v>
      </c>
      <c r="J12" s="55">
        <f>IF('07 Support Drivers'!$D$10="Two-stage finance",SUMIF('05 Support &amp; Income'!$A$5:$A$41,J$4,'05 Support &amp; Income'!$F$5:$F$41)*IF(SUMIF('08 Allocation Data'!$A$5:$A$34,$A12,'08 Allocation Data'!$L$5:$L$34)&gt;0,SUMIF('08 Allocation Data'!$A$5:$A$34,$A12,'08 Allocation Data'!$L$5:$L$34),IFERROR((1-SUM('08 Allocation Data'!$L$5:$L$34))*C12/SUMIFS($C$5:$C$34,'08 Allocation Data'!$L$5:$L$34,0),0)),IFERROR(SUMIF('05 Support &amp; Income'!$A$5:$A$41,J$4,'05 Support &amp; Income'!$F$5:$F$41)*IF('07 Support Drivers'!$D$10="Headcount",SUMIF('08 Allocation Data'!$A$5:$A$34,$A12,'08 Allocation Data'!$D$5:$D$34),IF('07 Support Drivers'!$D$10="FTE",SUMIF('08 Allocation Data'!$A$5:$A$34,$A12,'08 Allocation Data'!$E$5:$E$34),IF('07 Support Drivers'!$D$10="Floor space",SUMIF('08 Allocation Data'!$A$5:$A$34,$A12,'08 Allocation Data'!$F$5:$F$34),IF('07 Support Drivers'!$D$10="Weighted floor space",SUMIF('08 Allocation Data'!$A$5:$A$34,$A12,'08 Allocation Data'!$I$5:$I$34),IF('07 Support Drivers'!$D$10="Cleaning hours",SUMIF('08 Allocation Data'!$A$5:$A$34,$A12,'08 Allocation Data'!$J$5:$J$34),IF('07 Support Drivers'!$D$10="Meals",SUMIF('08 Allocation Data'!$A$5:$A$34,$A12,'08 Allocation Data'!$K$5:$K$34),IF('07 Support Drivers'!$D$10="Direct costs",SUMIF('08 Allocation Data'!$A$5:$A$34,$A12,'08 Allocation Data'!$M$5:$M$34),0)))))))/'07 Support Drivers'!$G$10,0))</f>
        <v>0</v>
      </c>
      <c r="K12" s="55">
        <f>IF('07 Support Drivers'!$D$11="Two-stage finance",SUMIF('05 Support &amp; Income'!$A$5:$A$41,K$4,'05 Support &amp; Income'!$F$5:$F$41)*IF(SUMIF('08 Allocation Data'!$A$5:$A$34,$A12,'08 Allocation Data'!$L$5:$L$34)&gt;0,SUMIF('08 Allocation Data'!$A$5:$A$34,$A12,'08 Allocation Data'!$L$5:$L$34),IFERROR((1-SUM('08 Allocation Data'!$L$5:$L$34))*C12/SUMIFS($C$5:$C$34,'08 Allocation Data'!$L$5:$L$34,0),0)),IFERROR(SUMIF('05 Support &amp; Income'!$A$5:$A$41,K$4,'05 Support &amp; Income'!$F$5:$F$41)*IF('07 Support Drivers'!$D$11="Headcount",SUMIF('08 Allocation Data'!$A$5:$A$34,$A12,'08 Allocation Data'!$D$5:$D$34),IF('07 Support Drivers'!$D$11="FTE",SUMIF('08 Allocation Data'!$A$5:$A$34,$A12,'08 Allocation Data'!$E$5:$E$34),IF('07 Support Drivers'!$D$11="Floor space",SUMIF('08 Allocation Data'!$A$5:$A$34,$A12,'08 Allocation Data'!$F$5:$F$34),IF('07 Support Drivers'!$D$11="Weighted floor space",SUMIF('08 Allocation Data'!$A$5:$A$34,$A12,'08 Allocation Data'!$I$5:$I$34),IF('07 Support Drivers'!$D$11="Cleaning hours",SUMIF('08 Allocation Data'!$A$5:$A$34,$A12,'08 Allocation Data'!$J$5:$J$34),IF('07 Support Drivers'!$D$11="Meals",SUMIF('08 Allocation Data'!$A$5:$A$34,$A12,'08 Allocation Data'!$K$5:$K$34),IF('07 Support Drivers'!$D$11="Direct costs",SUMIF('08 Allocation Data'!$A$5:$A$34,$A12,'08 Allocation Data'!$M$5:$M$34),0)))))))/'07 Support Drivers'!$G$11,0))</f>
        <v>0</v>
      </c>
      <c r="L12" s="55">
        <f>IF('07 Support Drivers'!$D$12="Two-stage finance",SUMIF('05 Support &amp; Income'!$A$5:$A$41,L$4,'05 Support &amp; Income'!$F$5:$F$41)*IF(SUMIF('08 Allocation Data'!$A$5:$A$34,$A12,'08 Allocation Data'!$L$5:$L$34)&gt;0,SUMIF('08 Allocation Data'!$A$5:$A$34,$A12,'08 Allocation Data'!$L$5:$L$34),IFERROR((1-SUM('08 Allocation Data'!$L$5:$L$34))*C12/SUMIFS($C$5:$C$34,'08 Allocation Data'!$L$5:$L$34,0),0)),IFERROR(SUMIF('05 Support &amp; Income'!$A$5:$A$41,L$4,'05 Support &amp; Income'!$F$5:$F$41)*IF('07 Support Drivers'!$D$12="Headcount",SUMIF('08 Allocation Data'!$A$5:$A$34,$A12,'08 Allocation Data'!$D$5:$D$34),IF('07 Support Drivers'!$D$12="FTE",SUMIF('08 Allocation Data'!$A$5:$A$34,$A12,'08 Allocation Data'!$E$5:$E$34),IF('07 Support Drivers'!$D$12="Floor space",SUMIF('08 Allocation Data'!$A$5:$A$34,$A12,'08 Allocation Data'!$F$5:$F$34),IF('07 Support Drivers'!$D$12="Weighted floor space",SUMIF('08 Allocation Data'!$A$5:$A$34,$A12,'08 Allocation Data'!$I$5:$I$34),IF('07 Support Drivers'!$D$12="Cleaning hours",SUMIF('08 Allocation Data'!$A$5:$A$34,$A12,'08 Allocation Data'!$J$5:$J$34),IF('07 Support Drivers'!$D$12="Meals",SUMIF('08 Allocation Data'!$A$5:$A$34,$A12,'08 Allocation Data'!$K$5:$K$34),IF('07 Support Drivers'!$D$12="Direct costs",SUMIF('08 Allocation Data'!$A$5:$A$34,$A12,'08 Allocation Data'!$M$5:$M$34),0)))))))/'07 Support Drivers'!$G$12,0))</f>
        <v>0</v>
      </c>
      <c r="M12" s="55">
        <f>IF('07 Support Drivers'!$D$13="Two-stage finance",SUMIF('05 Support &amp; Income'!$A$5:$A$41,M$4,'05 Support &amp; Income'!$F$5:$F$41)*IF(SUMIF('08 Allocation Data'!$A$5:$A$34,$A12,'08 Allocation Data'!$L$5:$L$34)&gt;0,SUMIF('08 Allocation Data'!$A$5:$A$34,$A12,'08 Allocation Data'!$L$5:$L$34),IFERROR((1-SUM('08 Allocation Data'!$L$5:$L$34))*C12/SUMIFS($C$5:$C$34,'08 Allocation Data'!$L$5:$L$34,0),0)),IFERROR(SUMIF('05 Support &amp; Income'!$A$5:$A$41,M$4,'05 Support &amp; Income'!$F$5:$F$41)*IF('07 Support Drivers'!$D$13="Headcount",SUMIF('08 Allocation Data'!$A$5:$A$34,$A12,'08 Allocation Data'!$D$5:$D$34),IF('07 Support Drivers'!$D$13="FTE",SUMIF('08 Allocation Data'!$A$5:$A$34,$A12,'08 Allocation Data'!$E$5:$E$34),IF('07 Support Drivers'!$D$13="Floor space",SUMIF('08 Allocation Data'!$A$5:$A$34,$A12,'08 Allocation Data'!$F$5:$F$34),IF('07 Support Drivers'!$D$13="Weighted floor space",SUMIF('08 Allocation Data'!$A$5:$A$34,$A12,'08 Allocation Data'!$I$5:$I$34),IF('07 Support Drivers'!$D$13="Cleaning hours",SUMIF('08 Allocation Data'!$A$5:$A$34,$A12,'08 Allocation Data'!$J$5:$J$34),IF('07 Support Drivers'!$D$13="Meals",SUMIF('08 Allocation Data'!$A$5:$A$34,$A12,'08 Allocation Data'!$K$5:$K$34),IF('07 Support Drivers'!$D$13="Direct costs",SUMIF('08 Allocation Data'!$A$5:$A$34,$A12,'08 Allocation Data'!$M$5:$M$34),0)))))))/'07 Support Drivers'!$G$13,0))</f>
        <v>0</v>
      </c>
      <c r="N12" s="55">
        <f>IF('07 Support Drivers'!$D$14="Two-stage finance",SUMIF('05 Support &amp; Income'!$A$5:$A$41,N$4,'05 Support &amp; Income'!$F$5:$F$41)*IF(SUMIF('08 Allocation Data'!$A$5:$A$34,$A12,'08 Allocation Data'!$L$5:$L$34)&gt;0,SUMIF('08 Allocation Data'!$A$5:$A$34,$A12,'08 Allocation Data'!$L$5:$L$34),IFERROR((1-SUM('08 Allocation Data'!$L$5:$L$34))*C12/SUMIFS($C$5:$C$34,'08 Allocation Data'!$L$5:$L$34,0),0)),IFERROR(SUMIF('05 Support &amp; Income'!$A$5:$A$41,N$4,'05 Support &amp; Income'!$F$5:$F$41)*IF('07 Support Drivers'!$D$14="Headcount",SUMIF('08 Allocation Data'!$A$5:$A$34,$A12,'08 Allocation Data'!$D$5:$D$34),IF('07 Support Drivers'!$D$14="FTE",SUMIF('08 Allocation Data'!$A$5:$A$34,$A12,'08 Allocation Data'!$E$5:$E$34),IF('07 Support Drivers'!$D$14="Floor space",SUMIF('08 Allocation Data'!$A$5:$A$34,$A12,'08 Allocation Data'!$F$5:$F$34),IF('07 Support Drivers'!$D$14="Weighted floor space",SUMIF('08 Allocation Data'!$A$5:$A$34,$A12,'08 Allocation Data'!$I$5:$I$34),IF('07 Support Drivers'!$D$14="Cleaning hours",SUMIF('08 Allocation Data'!$A$5:$A$34,$A12,'08 Allocation Data'!$J$5:$J$34),IF('07 Support Drivers'!$D$14="Meals",SUMIF('08 Allocation Data'!$A$5:$A$34,$A12,'08 Allocation Data'!$K$5:$K$34),IF('07 Support Drivers'!$D$14="Direct costs",SUMIF('08 Allocation Data'!$A$5:$A$34,$A12,'08 Allocation Data'!$M$5:$M$34),0)))))))/'07 Support Drivers'!$G$14,0))</f>
        <v>0</v>
      </c>
      <c r="O12" s="55">
        <f>IF('07 Support Drivers'!$D$15="Two-stage finance",SUMIF('05 Support &amp; Income'!$A$5:$A$41,O$4,'05 Support &amp; Income'!$F$5:$F$41)*IF(SUMIF('08 Allocation Data'!$A$5:$A$34,$A12,'08 Allocation Data'!$L$5:$L$34)&gt;0,SUMIF('08 Allocation Data'!$A$5:$A$34,$A12,'08 Allocation Data'!$L$5:$L$34),IFERROR((1-SUM('08 Allocation Data'!$L$5:$L$34))*C12/SUMIFS($C$5:$C$34,'08 Allocation Data'!$L$5:$L$34,0),0)),IFERROR(SUMIF('05 Support &amp; Income'!$A$5:$A$41,O$4,'05 Support &amp; Income'!$F$5:$F$41)*IF('07 Support Drivers'!$D$15="Headcount",SUMIF('08 Allocation Data'!$A$5:$A$34,$A12,'08 Allocation Data'!$D$5:$D$34),IF('07 Support Drivers'!$D$15="FTE",SUMIF('08 Allocation Data'!$A$5:$A$34,$A12,'08 Allocation Data'!$E$5:$E$34),IF('07 Support Drivers'!$D$15="Floor space",SUMIF('08 Allocation Data'!$A$5:$A$34,$A12,'08 Allocation Data'!$F$5:$F$34),IF('07 Support Drivers'!$D$15="Weighted floor space",SUMIF('08 Allocation Data'!$A$5:$A$34,$A12,'08 Allocation Data'!$I$5:$I$34),IF('07 Support Drivers'!$D$15="Cleaning hours",SUMIF('08 Allocation Data'!$A$5:$A$34,$A12,'08 Allocation Data'!$J$5:$J$34),IF('07 Support Drivers'!$D$15="Meals",SUMIF('08 Allocation Data'!$A$5:$A$34,$A12,'08 Allocation Data'!$K$5:$K$34),IF('07 Support Drivers'!$D$15="Direct costs",SUMIF('08 Allocation Data'!$A$5:$A$34,$A12,'08 Allocation Data'!$M$5:$M$34),0)))))))/'07 Support Drivers'!$G$15,0))</f>
        <v>0</v>
      </c>
      <c r="P12" s="55">
        <f>IF('07 Support Drivers'!$D$16="Two-stage finance",SUMIF('05 Support &amp; Income'!$A$5:$A$41,P$4,'05 Support &amp; Income'!$F$5:$F$41)*IF(SUMIF('08 Allocation Data'!$A$5:$A$34,$A12,'08 Allocation Data'!$L$5:$L$34)&gt;0,SUMIF('08 Allocation Data'!$A$5:$A$34,$A12,'08 Allocation Data'!$L$5:$L$34),IFERROR((1-SUM('08 Allocation Data'!$L$5:$L$34))*C12/SUMIFS($C$5:$C$34,'08 Allocation Data'!$L$5:$L$34,0),0)),IFERROR(SUMIF('05 Support &amp; Income'!$A$5:$A$41,P$4,'05 Support &amp; Income'!$F$5:$F$41)*IF('07 Support Drivers'!$D$16="Headcount",SUMIF('08 Allocation Data'!$A$5:$A$34,$A12,'08 Allocation Data'!$D$5:$D$34),IF('07 Support Drivers'!$D$16="FTE",SUMIF('08 Allocation Data'!$A$5:$A$34,$A12,'08 Allocation Data'!$E$5:$E$34),IF('07 Support Drivers'!$D$16="Floor space",SUMIF('08 Allocation Data'!$A$5:$A$34,$A12,'08 Allocation Data'!$F$5:$F$34),IF('07 Support Drivers'!$D$16="Weighted floor space",SUMIF('08 Allocation Data'!$A$5:$A$34,$A12,'08 Allocation Data'!$I$5:$I$34),IF('07 Support Drivers'!$D$16="Cleaning hours",SUMIF('08 Allocation Data'!$A$5:$A$34,$A12,'08 Allocation Data'!$J$5:$J$34),IF('07 Support Drivers'!$D$16="Meals",SUMIF('08 Allocation Data'!$A$5:$A$34,$A12,'08 Allocation Data'!$K$5:$K$34),IF('07 Support Drivers'!$D$16="Direct costs",SUMIF('08 Allocation Data'!$A$5:$A$34,$A12,'08 Allocation Data'!$M$5:$M$34),0)))))))/'07 Support Drivers'!$G$16,0))</f>
        <v>0</v>
      </c>
      <c r="Q12" s="55">
        <f>IF('07 Support Drivers'!$D$17="Two-stage finance",SUMIF('05 Support &amp; Income'!$A$5:$A$41,Q$4,'05 Support &amp; Income'!$F$5:$F$41)*IF(SUMIF('08 Allocation Data'!$A$5:$A$34,$A12,'08 Allocation Data'!$L$5:$L$34)&gt;0,SUMIF('08 Allocation Data'!$A$5:$A$34,$A12,'08 Allocation Data'!$L$5:$L$34),IFERROR((1-SUM('08 Allocation Data'!$L$5:$L$34))*C12/SUMIFS($C$5:$C$34,'08 Allocation Data'!$L$5:$L$34,0),0)),IFERROR(SUMIF('05 Support &amp; Income'!$A$5:$A$41,Q$4,'05 Support &amp; Income'!$F$5:$F$41)*IF('07 Support Drivers'!$D$17="Headcount",SUMIF('08 Allocation Data'!$A$5:$A$34,$A12,'08 Allocation Data'!$D$5:$D$34),IF('07 Support Drivers'!$D$17="FTE",SUMIF('08 Allocation Data'!$A$5:$A$34,$A12,'08 Allocation Data'!$E$5:$E$34),IF('07 Support Drivers'!$D$17="Floor space",SUMIF('08 Allocation Data'!$A$5:$A$34,$A12,'08 Allocation Data'!$F$5:$F$34),IF('07 Support Drivers'!$D$17="Weighted floor space",SUMIF('08 Allocation Data'!$A$5:$A$34,$A12,'08 Allocation Data'!$I$5:$I$34),IF('07 Support Drivers'!$D$17="Cleaning hours",SUMIF('08 Allocation Data'!$A$5:$A$34,$A12,'08 Allocation Data'!$J$5:$J$34),IF('07 Support Drivers'!$D$17="Meals",SUMIF('08 Allocation Data'!$A$5:$A$34,$A12,'08 Allocation Data'!$K$5:$K$34),IF('07 Support Drivers'!$D$17="Direct costs",SUMIF('08 Allocation Data'!$A$5:$A$34,$A12,'08 Allocation Data'!$M$5:$M$34),0)))))))/'07 Support Drivers'!$G$17,0))</f>
        <v>0</v>
      </c>
      <c r="R12" s="48">
        <f t="shared" si="0"/>
        <v>0</v>
      </c>
      <c r="S12" s="48">
        <f>SUMIF('04 Service Costs'!$A$5:$A$31,A12,'04 Service Costs'!$M$5:$M$31)+SUMIF('06 Shared Cost Pools'!$D$21:$D$260,A12,'06 Shared Cost Pools'!$I$21:$I$260)</f>
        <v>0</v>
      </c>
      <c r="T12" s="48">
        <f>SUMIF('04 Service Costs'!$A$5:$A$31,A12,'04 Service Costs'!$N$5:$N$31)+SUMIF('06 Shared Cost Pools'!$D$21:$D$260,A12,'06 Shared Cost Pools'!$J$21:$J$260)</f>
        <v>0</v>
      </c>
      <c r="U12" s="48">
        <f>SUMIF('04 Service Costs'!$A$5:$A$31,A12,'04 Service Costs'!$O$5:$O$31)+SUMIF('06 Shared Cost Pools'!$D$21:$D$260,A12,'06 Shared Cost Pools'!$K$21:$K$260)</f>
        <v>0</v>
      </c>
      <c r="V12" s="48">
        <f t="shared" si="1"/>
        <v>0</v>
      </c>
    </row>
    <row r="13" spans="1:22">
      <c r="A13" s="3" t="s">
        <v>132</v>
      </c>
      <c r="B13" s="3" t="s">
        <v>133</v>
      </c>
      <c r="C13" s="55">
        <f>SUMIF('04 Service Costs'!$A$5:$A$31,A13,'04 Service Costs'!$L$5:$L$31)+SUMIF('05 Support &amp; Income'!$A$5:$A$41,A13,'05 Support &amp; Income'!$F$5:$F$41)</f>
        <v>0</v>
      </c>
      <c r="D13" s="55">
        <f>SUMIF('06 Shared Cost Pools'!$D$21:$D$260,A13,'06 Shared Cost Pools'!$F$21:$F$260)</f>
        <v>0</v>
      </c>
      <c r="E13" s="55">
        <f>IF('07 Support Drivers'!$D$5="Two-stage finance",SUMIF('05 Support &amp; Income'!$A$5:$A$41,E$4,'05 Support &amp; Income'!$F$5:$F$41)*IF(SUMIF('08 Allocation Data'!$A$5:$A$34,$A13,'08 Allocation Data'!$L$5:$L$34)&gt;0,SUMIF('08 Allocation Data'!$A$5:$A$34,$A13,'08 Allocation Data'!$L$5:$L$34),IFERROR((1-SUM('08 Allocation Data'!$L$5:$L$34))*C13/SUMIFS($C$5:$C$34,'08 Allocation Data'!$L$5:$L$34,0),0)),IFERROR(SUMIF('05 Support &amp; Income'!$A$5:$A$41,E$4,'05 Support &amp; Income'!$F$5:$F$41)*IF('07 Support Drivers'!$D$5="Headcount",SUMIF('08 Allocation Data'!$A$5:$A$34,$A13,'08 Allocation Data'!$D$5:$D$34),IF('07 Support Drivers'!$D$5="FTE",SUMIF('08 Allocation Data'!$A$5:$A$34,$A13,'08 Allocation Data'!$E$5:$E$34),IF('07 Support Drivers'!$D$5="Floor space",SUMIF('08 Allocation Data'!$A$5:$A$34,$A13,'08 Allocation Data'!$F$5:$F$34),IF('07 Support Drivers'!$D$5="Weighted floor space",SUMIF('08 Allocation Data'!$A$5:$A$34,$A13,'08 Allocation Data'!$I$5:$I$34),IF('07 Support Drivers'!$D$5="Cleaning hours",SUMIF('08 Allocation Data'!$A$5:$A$34,$A13,'08 Allocation Data'!$J$5:$J$34),IF('07 Support Drivers'!$D$5="Meals",SUMIF('08 Allocation Data'!$A$5:$A$34,$A13,'08 Allocation Data'!$K$5:$K$34),IF('07 Support Drivers'!$D$5="Direct costs",SUMIF('08 Allocation Data'!$A$5:$A$34,$A13,'08 Allocation Data'!$M$5:$M$34),0)))))))/'07 Support Drivers'!$G$5,0))</f>
        <v>0</v>
      </c>
      <c r="F13" s="55">
        <f>IF('07 Support Drivers'!$D$6="Two-stage finance",SUMIF('05 Support &amp; Income'!$A$5:$A$41,F$4,'05 Support &amp; Income'!$F$5:$F$41)*IF(SUMIF('08 Allocation Data'!$A$5:$A$34,$A13,'08 Allocation Data'!$L$5:$L$34)&gt;0,SUMIF('08 Allocation Data'!$A$5:$A$34,$A13,'08 Allocation Data'!$L$5:$L$34),IFERROR((1-SUM('08 Allocation Data'!$L$5:$L$34))*C13/SUMIFS($C$5:$C$34,'08 Allocation Data'!$L$5:$L$34,0),0)),IFERROR(SUMIF('05 Support &amp; Income'!$A$5:$A$41,F$4,'05 Support &amp; Income'!$F$5:$F$41)*IF('07 Support Drivers'!$D$6="Headcount",SUMIF('08 Allocation Data'!$A$5:$A$34,$A13,'08 Allocation Data'!$D$5:$D$34),IF('07 Support Drivers'!$D$6="FTE",SUMIF('08 Allocation Data'!$A$5:$A$34,$A13,'08 Allocation Data'!$E$5:$E$34),IF('07 Support Drivers'!$D$6="Floor space",SUMIF('08 Allocation Data'!$A$5:$A$34,$A13,'08 Allocation Data'!$F$5:$F$34),IF('07 Support Drivers'!$D$6="Weighted floor space",SUMIF('08 Allocation Data'!$A$5:$A$34,$A13,'08 Allocation Data'!$I$5:$I$34),IF('07 Support Drivers'!$D$6="Cleaning hours",SUMIF('08 Allocation Data'!$A$5:$A$34,$A13,'08 Allocation Data'!$J$5:$J$34),IF('07 Support Drivers'!$D$6="Meals",SUMIF('08 Allocation Data'!$A$5:$A$34,$A13,'08 Allocation Data'!$K$5:$K$34),IF('07 Support Drivers'!$D$6="Direct costs",SUMIF('08 Allocation Data'!$A$5:$A$34,$A13,'08 Allocation Data'!$M$5:$M$34),0)))))))/'07 Support Drivers'!$G$6,0))</f>
        <v>0</v>
      </c>
      <c r="G13" s="55">
        <f>IF('07 Support Drivers'!$D$7="Two-stage finance",SUMIF('05 Support &amp; Income'!$A$5:$A$41,G$4,'05 Support &amp; Income'!$F$5:$F$41)*IF(SUMIF('08 Allocation Data'!$A$5:$A$34,$A13,'08 Allocation Data'!$L$5:$L$34)&gt;0,SUMIF('08 Allocation Data'!$A$5:$A$34,$A13,'08 Allocation Data'!$L$5:$L$34),IFERROR((1-SUM('08 Allocation Data'!$L$5:$L$34))*C13/SUMIFS($C$5:$C$34,'08 Allocation Data'!$L$5:$L$34,0),0)),IFERROR(SUMIF('05 Support &amp; Income'!$A$5:$A$41,G$4,'05 Support &amp; Income'!$F$5:$F$41)*IF('07 Support Drivers'!$D$7="Headcount",SUMIF('08 Allocation Data'!$A$5:$A$34,$A13,'08 Allocation Data'!$D$5:$D$34),IF('07 Support Drivers'!$D$7="FTE",SUMIF('08 Allocation Data'!$A$5:$A$34,$A13,'08 Allocation Data'!$E$5:$E$34),IF('07 Support Drivers'!$D$7="Floor space",SUMIF('08 Allocation Data'!$A$5:$A$34,$A13,'08 Allocation Data'!$F$5:$F$34),IF('07 Support Drivers'!$D$7="Weighted floor space",SUMIF('08 Allocation Data'!$A$5:$A$34,$A13,'08 Allocation Data'!$I$5:$I$34),IF('07 Support Drivers'!$D$7="Cleaning hours",SUMIF('08 Allocation Data'!$A$5:$A$34,$A13,'08 Allocation Data'!$J$5:$J$34),IF('07 Support Drivers'!$D$7="Meals",SUMIF('08 Allocation Data'!$A$5:$A$34,$A13,'08 Allocation Data'!$K$5:$K$34),IF('07 Support Drivers'!$D$7="Direct costs",SUMIF('08 Allocation Data'!$A$5:$A$34,$A13,'08 Allocation Data'!$M$5:$M$34),0)))))))/'07 Support Drivers'!$G$7,0))</f>
        <v>0</v>
      </c>
      <c r="H13" s="55">
        <f>IF('07 Support Drivers'!$D$8="Two-stage finance",SUMIF('05 Support &amp; Income'!$A$5:$A$41,H$4,'05 Support &amp; Income'!$F$5:$F$41)*IF(SUMIF('08 Allocation Data'!$A$5:$A$34,$A13,'08 Allocation Data'!$L$5:$L$34)&gt;0,SUMIF('08 Allocation Data'!$A$5:$A$34,$A13,'08 Allocation Data'!$L$5:$L$34),IFERROR((1-SUM('08 Allocation Data'!$L$5:$L$34))*C13/SUMIFS($C$5:$C$34,'08 Allocation Data'!$L$5:$L$34,0),0)),IFERROR(SUMIF('05 Support &amp; Income'!$A$5:$A$41,H$4,'05 Support &amp; Income'!$F$5:$F$41)*IF('07 Support Drivers'!$D$8="Headcount",SUMIF('08 Allocation Data'!$A$5:$A$34,$A13,'08 Allocation Data'!$D$5:$D$34),IF('07 Support Drivers'!$D$8="FTE",SUMIF('08 Allocation Data'!$A$5:$A$34,$A13,'08 Allocation Data'!$E$5:$E$34),IF('07 Support Drivers'!$D$8="Floor space",SUMIF('08 Allocation Data'!$A$5:$A$34,$A13,'08 Allocation Data'!$F$5:$F$34),IF('07 Support Drivers'!$D$8="Weighted floor space",SUMIF('08 Allocation Data'!$A$5:$A$34,$A13,'08 Allocation Data'!$I$5:$I$34),IF('07 Support Drivers'!$D$8="Cleaning hours",SUMIF('08 Allocation Data'!$A$5:$A$34,$A13,'08 Allocation Data'!$J$5:$J$34),IF('07 Support Drivers'!$D$8="Meals",SUMIF('08 Allocation Data'!$A$5:$A$34,$A13,'08 Allocation Data'!$K$5:$K$34),IF('07 Support Drivers'!$D$8="Direct costs",SUMIF('08 Allocation Data'!$A$5:$A$34,$A13,'08 Allocation Data'!$M$5:$M$34),0)))))))/'07 Support Drivers'!$G$8,0))</f>
        <v>0</v>
      </c>
      <c r="I13" s="55">
        <f>IF('07 Support Drivers'!$D$9="Two-stage finance",SUMIF('05 Support &amp; Income'!$A$5:$A$41,I$4,'05 Support &amp; Income'!$F$5:$F$41)*IF(SUMIF('08 Allocation Data'!$A$5:$A$34,$A13,'08 Allocation Data'!$L$5:$L$34)&gt;0,SUMIF('08 Allocation Data'!$A$5:$A$34,$A13,'08 Allocation Data'!$L$5:$L$34),IFERROR((1-SUM('08 Allocation Data'!$L$5:$L$34))*C13/SUMIFS($C$5:$C$34,'08 Allocation Data'!$L$5:$L$34,0),0)),IFERROR(SUMIF('05 Support &amp; Income'!$A$5:$A$41,I$4,'05 Support &amp; Income'!$F$5:$F$41)*IF('07 Support Drivers'!$D$9="Headcount",SUMIF('08 Allocation Data'!$A$5:$A$34,$A13,'08 Allocation Data'!$D$5:$D$34),IF('07 Support Drivers'!$D$9="FTE",SUMIF('08 Allocation Data'!$A$5:$A$34,$A13,'08 Allocation Data'!$E$5:$E$34),IF('07 Support Drivers'!$D$9="Floor space",SUMIF('08 Allocation Data'!$A$5:$A$34,$A13,'08 Allocation Data'!$F$5:$F$34),IF('07 Support Drivers'!$D$9="Weighted floor space",SUMIF('08 Allocation Data'!$A$5:$A$34,$A13,'08 Allocation Data'!$I$5:$I$34),IF('07 Support Drivers'!$D$9="Cleaning hours",SUMIF('08 Allocation Data'!$A$5:$A$34,$A13,'08 Allocation Data'!$J$5:$J$34),IF('07 Support Drivers'!$D$9="Meals",SUMIF('08 Allocation Data'!$A$5:$A$34,$A13,'08 Allocation Data'!$K$5:$K$34),IF('07 Support Drivers'!$D$9="Direct costs",SUMIF('08 Allocation Data'!$A$5:$A$34,$A13,'08 Allocation Data'!$M$5:$M$34),0)))))))/'07 Support Drivers'!$G$9,0))</f>
        <v>0</v>
      </c>
      <c r="J13" s="55">
        <f>IF('07 Support Drivers'!$D$10="Two-stage finance",SUMIF('05 Support &amp; Income'!$A$5:$A$41,J$4,'05 Support &amp; Income'!$F$5:$F$41)*IF(SUMIF('08 Allocation Data'!$A$5:$A$34,$A13,'08 Allocation Data'!$L$5:$L$34)&gt;0,SUMIF('08 Allocation Data'!$A$5:$A$34,$A13,'08 Allocation Data'!$L$5:$L$34),IFERROR((1-SUM('08 Allocation Data'!$L$5:$L$34))*C13/SUMIFS($C$5:$C$34,'08 Allocation Data'!$L$5:$L$34,0),0)),IFERROR(SUMIF('05 Support &amp; Income'!$A$5:$A$41,J$4,'05 Support &amp; Income'!$F$5:$F$41)*IF('07 Support Drivers'!$D$10="Headcount",SUMIF('08 Allocation Data'!$A$5:$A$34,$A13,'08 Allocation Data'!$D$5:$D$34),IF('07 Support Drivers'!$D$10="FTE",SUMIF('08 Allocation Data'!$A$5:$A$34,$A13,'08 Allocation Data'!$E$5:$E$34),IF('07 Support Drivers'!$D$10="Floor space",SUMIF('08 Allocation Data'!$A$5:$A$34,$A13,'08 Allocation Data'!$F$5:$F$34),IF('07 Support Drivers'!$D$10="Weighted floor space",SUMIF('08 Allocation Data'!$A$5:$A$34,$A13,'08 Allocation Data'!$I$5:$I$34),IF('07 Support Drivers'!$D$10="Cleaning hours",SUMIF('08 Allocation Data'!$A$5:$A$34,$A13,'08 Allocation Data'!$J$5:$J$34),IF('07 Support Drivers'!$D$10="Meals",SUMIF('08 Allocation Data'!$A$5:$A$34,$A13,'08 Allocation Data'!$K$5:$K$34),IF('07 Support Drivers'!$D$10="Direct costs",SUMIF('08 Allocation Data'!$A$5:$A$34,$A13,'08 Allocation Data'!$M$5:$M$34),0)))))))/'07 Support Drivers'!$G$10,0))</f>
        <v>0</v>
      </c>
      <c r="K13" s="55">
        <f>IF('07 Support Drivers'!$D$11="Two-stage finance",SUMIF('05 Support &amp; Income'!$A$5:$A$41,K$4,'05 Support &amp; Income'!$F$5:$F$41)*IF(SUMIF('08 Allocation Data'!$A$5:$A$34,$A13,'08 Allocation Data'!$L$5:$L$34)&gt;0,SUMIF('08 Allocation Data'!$A$5:$A$34,$A13,'08 Allocation Data'!$L$5:$L$34),IFERROR((1-SUM('08 Allocation Data'!$L$5:$L$34))*C13/SUMIFS($C$5:$C$34,'08 Allocation Data'!$L$5:$L$34,0),0)),IFERROR(SUMIF('05 Support &amp; Income'!$A$5:$A$41,K$4,'05 Support &amp; Income'!$F$5:$F$41)*IF('07 Support Drivers'!$D$11="Headcount",SUMIF('08 Allocation Data'!$A$5:$A$34,$A13,'08 Allocation Data'!$D$5:$D$34),IF('07 Support Drivers'!$D$11="FTE",SUMIF('08 Allocation Data'!$A$5:$A$34,$A13,'08 Allocation Data'!$E$5:$E$34),IF('07 Support Drivers'!$D$11="Floor space",SUMIF('08 Allocation Data'!$A$5:$A$34,$A13,'08 Allocation Data'!$F$5:$F$34),IF('07 Support Drivers'!$D$11="Weighted floor space",SUMIF('08 Allocation Data'!$A$5:$A$34,$A13,'08 Allocation Data'!$I$5:$I$34),IF('07 Support Drivers'!$D$11="Cleaning hours",SUMIF('08 Allocation Data'!$A$5:$A$34,$A13,'08 Allocation Data'!$J$5:$J$34),IF('07 Support Drivers'!$D$11="Meals",SUMIF('08 Allocation Data'!$A$5:$A$34,$A13,'08 Allocation Data'!$K$5:$K$34),IF('07 Support Drivers'!$D$11="Direct costs",SUMIF('08 Allocation Data'!$A$5:$A$34,$A13,'08 Allocation Data'!$M$5:$M$34),0)))))))/'07 Support Drivers'!$G$11,0))</f>
        <v>0</v>
      </c>
      <c r="L13" s="55">
        <f>IF('07 Support Drivers'!$D$12="Two-stage finance",SUMIF('05 Support &amp; Income'!$A$5:$A$41,L$4,'05 Support &amp; Income'!$F$5:$F$41)*IF(SUMIF('08 Allocation Data'!$A$5:$A$34,$A13,'08 Allocation Data'!$L$5:$L$34)&gt;0,SUMIF('08 Allocation Data'!$A$5:$A$34,$A13,'08 Allocation Data'!$L$5:$L$34),IFERROR((1-SUM('08 Allocation Data'!$L$5:$L$34))*C13/SUMIFS($C$5:$C$34,'08 Allocation Data'!$L$5:$L$34,0),0)),IFERROR(SUMIF('05 Support &amp; Income'!$A$5:$A$41,L$4,'05 Support &amp; Income'!$F$5:$F$41)*IF('07 Support Drivers'!$D$12="Headcount",SUMIF('08 Allocation Data'!$A$5:$A$34,$A13,'08 Allocation Data'!$D$5:$D$34),IF('07 Support Drivers'!$D$12="FTE",SUMIF('08 Allocation Data'!$A$5:$A$34,$A13,'08 Allocation Data'!$E$5:$E$34),IF('07 Support Drivers'!$D$12="Floor space",SUMIF('08 Allocation Data'!$A$5:$A$34,$A13,'08 Allocation Data'!$F$5:$F$34),IF('07 Support Drivers'!$D$12="Weighted floor space",SUMIF('08 Allocation Data'!$A$5:$A$34,$A13,'08 Allocation Data'!$I$5:$I$34),IF('07 Support Drivers'!$D$12="Cleaning hours",SUMIF('08 Allocation Data'!$A$5:$A$34,$A13,'08 Allocation Data'!$J$5:$J$34),IF('07 Support Drivers'!$D$12="Meals",SUMIF('08 Allocation Data'!$A$5:$A$34,$A13,'08 Allocation Data'!$K$5:$K$34),IF('07 Support Drivers'!$D$12="Direct costs",SUMIF('08 Allocation Data'!$A$5:$A$34,$A13,'08 Allocation Data'!$M$5:$M$34),0)))))))/'07 Support Drivers'!$G$12,0))</f>
        <v>0</v>
      </c>
      <c r="M13" s="55">
        <f>IF('07 Support Drivers'!$D$13="Two-stage finance",SUMIF('05 Support &amp; Income'!$A$5:$A$41,M$4,'05 Support &amp; Income'!$F$5:$F$41)*IF(SUMIF('08 Allocation Data'!$A$5:$A$34,$A13,'08 Allocation Data'!$L$5:$L$34)&gt;0,SUMIF('08 Allocation Data'!$A$5:$A$34,$A13,'08 Allocation Data'!$L$5:$L$34),IFERROR((1-SUM('08 Allocation Data'!$L$5:$L$34))*C13/SUMIFS($C$5:$C$34,'08 Allocation Data'!$L$5:$L$34,0),0)),IFERROR(SUMIF('05 Support &amp; Income'!$A$5:$A$41,M$4,'05 Support &amp; Income'!$F$5:$F$41)*IF('07 Support Drivers'!$D$13="Headcount",SUMIF('08 Allocation Data'!$A$5:$A$34,$A13,'08 Allocation Data'!$D$5:$D$34),IF('07 Support Drivers'!$D$13="FTE",SUMIF('08 Allocation Data'!$A$5:$A$34,$A13,'08 Allocation Data'!$E$5:$E$34),IF('07 Support Drivers'!$D$13="Floor space",SUMIF('08 Allocation Data'!$A$5:$A$34,$A13,'08 Allocation Data'!$F$5:$F$34),IF('07 Support Drivers'!$D$13="Weighted floor space",SUMIF('08 Allocation Data'!$A$5:$A$34,$A13,'08 Allocation Data'!$I$5:$I$34),IF('07 Support Drivers'!$D$13="Cleaning hours",SUMIF('08 Allocation Data'!$A$5:$A$34,$A13,'08 Allocation Data'!$J$5:$J$34),IF('07 Support Drivers'!$D$13="Meals",SUMIF('08 Allocation Data'!$A$5:$A$34,$A13,'08 Allocation Data'!$K$5:$K$34),IF('07 Support Drivers'!$D$13="Direct costs",SUMIF('08 Allocation Data'!$A$5:$A$34,$A13,'08 Allocation Data'!$M$5:$M$34),0)))))))/'07 Support Drivers'!$G$13,0))</f>
        <v>0</v>
      </c>
      <c r="N13" s="55">
        <f>IF('07 Support Drivers'!$D$14="Two-stage finance",SUMIF('05 Support &amp; Income'!$A$5:$A$41,N$4,'05 Support &amp; Income'!$F$5:$F$41)*IF(SUMIF('08 Allocation Data'!$A$5:$A$34,$A13,'08 Allocation Data'!$L$5:$L$34)&gt;0,SUMIF('08 Allocation Data'!$A$5:$A$34,$A13,'08 Allocation Data'!$L$5:$L$34),IFERROR((1-SUM('08 Allocation Data'!$L$5:$L$34))*C13/SUMIFS($C$5:$C$34,'08 Allocation Data'!$L$5:$L$34,0),0)),IFERROR(SUMIF('05 Support &amp; Income'!$A$5:$A$41,N$4,'05 Support &amp; Income'!$F$5:$F$41)*IF('07 Support Drivers'!$D$14="Headcount",SUMIF('08 Allocation Data'!$A$5:$A$34,$A13,'08 Allocation Data'!$D$5:$D$34),IF('07 Support Drivers'!$D$14="FTE",SUMIF('08 Allocation Data'!$A$5:$A$34,$A13,'08 Allocation Data'!$E$5:$E$34),IF('07 Support Drivers'!$D$14="Floor space",SUMIF('08 Allocation Data'!$A$5:$A$34,$A13,'08 Allocation Data'!$F$5:$F$34),IF('07 Support Drivers'!$D$14="Weighted floor space",SUMIF('08 Allocation Data'!$A$5:$A$34,$A13,'08 Allocation Data'!$I$5:$I$34),IF('07 Support Drivers'!$D$14="Cleaning hours",SUMIF('08 Allocation Data'!$A$5:$A$34,$A13,'08 Allocation Data'!$J$5:$J$34),IF('07 Support Drivers'!$D$14="Meals",SUMIF('08 Allocation Data'!$A$5:$A$34,$A13,'08 Allocation Data'!$K$5:$K$34),IF('07 Support Drivers'!$D$14="Direct costs",SUMIF('08 Allocation Data'!$A$5:$A$34,$A13,'08 Allocation Data'!$M$5:$M$34),0)))))))/'07 Support Drivers'!$G$14,0))</f>
        <v>0</v>
      </c>
      <c r="O13" s="55">
        <f>IF('07 Support Drivers'!$D$15="Two-stage finance",SUMIF('05 Support &amp; Income'!$A$5:$A$41,O$4,'05 Support &amp; Income'!$F$5:$F$41)*IF(SUMIF('08 Allocation Data'!$A$5:$A$34,$A13,'08 Allocation Data'!$L$5:$L$34)&gt;0,SUMIF('08 Allocation Data'!$A$5:$A$34,$A13,'08 Allocation Data'!$L$5:$L$34),IFERROR((1-SUM('08 Allocation Data'!$L$5:$L$34))*C13/SUMIFS($C$5:$C$34,'08 Allocation Data'!$L$5:$L$34,0),0)),IFERROR(SUMIF('05 Support &amp; Income'!$A$5:$A$41,O$4,'05 Support &amp; Income'!$F$5:$F$41)*IF('07 Support Drivers'!$D$15="Headcount",SUMIF('08 Allocation Data'!$A$5:$A$34,$A13,'08 Allocation Data'!$D$5:$D$34),IF('07 Support Drivers'!$D$15="FTE",SUMIF('08 Allocation Data'!$A$5:$A$34,$A13,'08 Allocation Data'!$E$5:$E$34),IF('07 Support Drivers'!$D$15="Floor space",SUMIF('08 Allocation Data'!$A$5:$A$34,$A13,'08 Allocation Data'!$F$5:$F$34),IF('07 Support Drivers'!$D$15="Weighted floor space",SUMIF('08 Allocation Data'!$A$5:$A$34,$A13,'08 Allocation Data'!$I$5:$I$34),IF('07 Support Drivers'!$D$15="Cleaning hours",SUMIF('08 Allocation Data'!$A$5:$A$34,$A13,'08 Allocation Data'!$J$5:$J$34),IF('07 Support Drivers'!$D$15="Meals",SUMIF('08 Allocation Data'!$A$5:$A$34,$A13,'08 Allocation Data'!$K$5:$K$34),IF('07 Support Drivers'!$D$15="Direct costs",SUMIF('08 Allocation Data'!$A$5:$A$34,$A13,'08 Allocation Data'!$M$5:$M$34),0)))))))/'07 Support Drivers'!$G$15,0))</f>
        <v>0</v>
      </c>
      <c r="P13" s="55">
        <f>IF('07 Support Drivers'!$D$16="Two-stage finance",SUMIF('05 Support &amp; Income'!$A$5:$A$41,P$4,'05 Support &amp; Income'!$F$5:$F$41)*IF(SUMIF('08 Allocation Data'!$A$5:$A$34,$A13,'08 Allocation Data'!$L$5:$L$34)&gt;0,SUMIF('08 Allocation Data'!$A$5:$A$34,$A13,'08 Allocation Data'!$L$5:$L$34),IFERROR((1-SUM('08 Allocation Data'!$L$5:$L$34))*C13/SUMIFS($C$5:$C$34,'08 Allocation Data'!$L$5:$L$34,0),0)),IFERROR(SUMIF('05 Support &amp; Income'!$A$5:$A$41,P$4,'05 Support &amp; Income'!$F$5:$F$41)*IF('07 Support Drivers'!$D$16="Headcount",SUMIF('08 Allocation Data'!$A$5:$A$34,$A13,'08 Allocation Data'!$D$5:$D$34),IF('07 Support Drivers'!$D$16="FTE",SUMIF('08 Allocation Data'!$A$5:$A$34,$A13,'08 Allocation Data'!$E$5:$E$34),IF('07 Support Drivers'!$D$16="Floor space",SUMIF('08 Allocation Data'!$A$5:$A$34,$A13,'08 Allocation Data'!$F$5:$F$34),IF('07 Support Drivers'!$D$16="Weighted floor space",SUMIF('08 Allocation Data'!$A$5:$A$34,$A13,'08 Allocation Data'!$I$5:$I$34),IF('07 Support Drivers'!$D$16="Cleaning hours",SUMIF('08 Allocation Data'!$A$5:$A$34,$A13,'08 Allocation Data'!$J$5:$J$34),IF('07 Support Drivers'!$D$16="Meals",SUMIF('08 Allocation Data'!$A$5:$A$34,$A13,'08 Allocation Data'!$K$5:$K$34),IF('07 Support Drivers'!$D$16="Direct costs",SUMIF('08 Allocation Data'!$A$5:$A$34,$A13,'08 Allocation Data'!$M$5:$M$34),0)))))))/'07 Support Drivers'!$G$16,0))</f>
        <v>0</v>
      </c>
      <c r="Q13" s="55">
        <f>IF('07 Support Drivers'!$D$17="Two-stage finance",SUMIF('05 Support &amp; Income'!$A$5:$A$41,Q$4,'05 Support &amp; Income'!$F$5:$F$41)*IF(SUMIF('08 Allocation Data'!$A$5:$A$34,$A13,'08 Allocation Data'!$L$5:$L$34)&gt;0,SUMIF('08 Allocation Data'!$A$5:$A$34,$A13,'08 Allocation Data'!$L$5:$L$34),IFERROR((1-SUM('08 Allocation Data'!$L$5:$L$34))*C13/SUMIFS($C$5:$C$34,'08 Allocation Data'!$L$5:$L$34,0),0)),IFERROR(SUMIF('05 Support &amp; Income'!$A$5:$A$41,Q$4,'05 Support &amp; Income'!$F$5:$F$41)*IF('07 Support Drivers'!$D$17="Headcount",SUMIF('08 Allocation Data'!$A$5:$A$34,$A13,'08 Allocation Data'!$D$5:$D$34),IF('07 Support Drivers'!$D$17="FTE",SUMIF('08 Allocation Data'!$A$5:$A$34,$A13,'08 Allocation Data'!$E$5:$E$34),IF('07 Support Drivers'!$D$17="Floor space",SUMIF('08 Allocation Data'!$A$5:$A$34,$A13,'08 Allocation Data'!$F$5:$F$34),IF('07 Support Drivers'!$D$17="Weighted floor space",SUMIF('08 Allocation Data'!$A$5:$A$34,$A13,'08 Allocation Data'!$I$5:$I$34),IF('07 Support Drivers'!$D$17="Cleaning hours",SUMIF('08 Allocation Data'!$A$5:$A$34,$A13,'08 Allocation Data'!$J$5:$J$34),IF('07 Support Drivers'!$D$17="Meals",SUMIF('08 Allocation Data'!$A$5:$A$34,$A13,'08 Allocation Data'!$K$5:$K$34),IF('07 Support Drivers'!$D$17="Direct costs",SUMIF('08 Allocation Data'!$A$5:$A$34,$A13,'08 Allocation Data'!$M$5:$M$34),0)))))))/'07 Support Drivers'!$G$17,0))</f>
        <v>0</v>
      </c>
      <c r="R13" s="48">
        <f t="shared" si="0"/>
        <v>0</v>
      </c>
      <c r="S13" s="48">
        <f>SUMIF('04 Service Costs'!$A$5:$A$31,A13,'04 Service Costs'!$M$5:$M$31)+SUMIF('06 Shared Cost Pools'!$D$21:$D$260,A13,'06 Shared Cost Pools'!$I$21:$I$260)</f>
        <v>0</v>
      </c>
      <c r="T13" s="48">
        <f>SUMIF('04 Service Costs'!$A$5:$A$31,A13,'04 Service Costs'!$N$5:$N$31)+SUMIF('06 Shared Cost Pools'!$D$21:$D$260,A13,'06 Shared Cost Pools'!$J$21:$J$260)</f>
        <v>0</v>
      </c>
      <c r="U13" s="48">
        <f>SUMIF('04 Service Costs'!$A$5:$A$31,A13,'04 Service Costs'!$O$5:$O$31)+SUMIF('06 Shared Cost Pools'!$D$21:$D$260,A13,'06 Shared Cost Pools'!$K$21:$K$260)</f>
        <v>0</v>
      </c>
      <c r="V13" s="48">
        <f t="shared" si="1"/>
        <v>0</v>
      </c>
    </row>
    <row r="14" spans="1:22">
      <c r="A14" s="3" t="s">
        <v>134</v>
      </c>
      <c r="B14" s="3" t="s">
        <v>135</v>
      </c>
      <c r="C14" s="55">
        <f>SUMIF('04 Service Costs'!$A$5:$A$31,A14,'04 Service Costs'!$L$5:$L$31)+SUMIF('05 Support &amp; Income'!$A$5:$A$41,A14,'05 Support &amp; Income'!$F$5:$F$41)</f>
        <v>0</v>
      </c>
      <c r="D14" s="55">
        <f>SUMIF('06 Shared Cost Pools'!$D$21:$D$260,A14,'06 Shared Cost Pools'!$F$21:$F$260)</f>
        <v>0</v>
      </c>
      <c r="E14" s="55">
        <f>IF('07 Support Drivers'!$D$5="Two-stage finance",SUMIF('05 Support &amp; Income'!$A$5:$A$41,E$4,'05 Support &amp; Income'!$F$5:$F$41)*IF(SUMIF('08 Allocation Data'!$A$5:$A$34,$A14,'08 Allocation Data'!$L$5:$L$34)&gt;0,SUMIF('08 Allocation Data'!$A$5:$A$34,$A14,'08 Allocation Data'!$L$5:$L$34),IFERROR((1-SUM('08 Allocation Data'!$L$5:$L$34))*C14/SUMIFS($C$5:$C$34,'08 Allocation Data'!$L$5:$L$34,0),0)),IFERROR(SUMIF('05 Support &amp; Income'!$A$5:$A$41,E$4,'05 Support &amp; Income'!$F$5:$F$41)*IF('07 Support Drivers'!$D$5="Headcount",SUMIF('08 Allocation Data'!$A$5:$A$34,$A14,'08 Allocation Data'!$D$5:$D$34),IF('07 Support Drivers'!$D$5="FTE",SUMIF('08 Allocation Data'!$A$5:$A$34,$A14,'08 Allocation Data'!$E$5:$E$34),IF('07 Support Drivers'!$D$5="Floor space",SUMIF('08 Allocation Data'!$A$5:$A$34,$A14,'08 Allocation Data'!$F$5:$F$34),IF('07 Support Drivers'!$D$5="Weighted floor space",SUMIF('08 Allocation Data'!$A$5:$A$34,$A14,'08 Allocation Data'!$I$5:$I$34),IF('07 Support Drivers'!$D$5="Cleaning hours",SUMIF('08 Allocation Data'!$A$5:$A$34,$A14,'08 Allocation Data'!$J$5:$J$34),IF('07 Support Drivers'!$D$5="Meals",SUMIF('08 Allocation Data'!$A$5:$A$34,$A14,'08 Allocation Data'!$K$5:$K$34),IF('07 Support Drivers'!$D$5="Direct costs",SUMIF('08 Allocation Data'!$A$5:$A$34,$A14,'08 Allocation Data'!$M$5:$M$34),0)))))))/'07 Support Drivers'!$G$5,0))</f>
        <v>0</v>
      </c>
      <c r="F14" s="55">
        <f>IF('07 Support Drivers'!$D$6="Two-stage finance",SUMIF('05 Support &amp; Income'!$A$5:$A$41,F$4,'05 Support &amp; Income'!$F$5:$F$41)*IF(SUMIF('08 Allocation Data'!$A$5:$A$34,$A14,'08 Allocation Data'!$L$5:$L$34)&gt;0,SUMIF('08 Allocation Data'!$A$5:$A$34,$A14,'08 Allocation Data'!$L$5:$L$34),IFERROR((1-SUM('08 Allocation Data'!$L$5:$L$34))*C14/SUMIFS($C$5:$C$34,'08 Allocation Data'!$L$5:$L$34,0),0)),IFERROR(SUMIF('05 Support &amp; Income'!$A$5:$A$41,F$4,'05 Support &amp; Income'!$F$5:$F$41)*IF('07 Support Drivers'!$D$6="Headcount",SUMIF('08 Allocation Data'!$A$5:$A$34,$A14,'08 Allocation Data'!$D$5:$D$34),IF('07 Support Drivers'!$D$6="FTE",SUMIF('08 Allocation Data'!$A$5:$A$34,$A14,'08 Allocation Data'!$E$5:$E$34),IF('07 Support Drivers'!$D$6="Floor space",SUMIF('08 Allocation Data'!$A$5:$A$34,$A14,'08 Allocation Data'!$F$5:$F$34),IF('07 Support Drivers'!$D$6="Weighted floor space",SUMIF('08 Allocation Data'!$A$5:$A$34,$A14,'08 Allocation Data'!$I$5:$I$34),IF('07 Support Drivers'!$D$6="Cleaning hours",SUMIF('08 Allocation Data'!$A$5:$A$34,$A14,'08 Allocation Data'!$J$5:$J$34),IF('07 Support Drivers'!$D$6="Meals",SUMIF('08 Allocation Data'!$A$5:$A$34,$A14,'08 Allocation Data'!$K$5:$K$34),IF('07 Support Drivers'!$D$6="Direct costs",SUMIF('08 Allocation Data'!$A$5:$A$34,$A14,'08 Allocation Data'!$M$5:$M$34),0)))))))/'07 Support Drivers'!$G$6,0))</f>
        <v>0</v>
      </c>
      <c r="G14" s="55">
        <f>IF('07 Support Drivers'!$D$7="Two-stage finance",SUMIF('05 Support &amp; Income'!$A$5:$A$41,G$4,'05 Support &amp; Income'!$F$5:$F$41)*IF(SUMIF('08 Allocation Data'!$A$5:$A$34,$A14,'08 Allocation Data'!$L$5:$L$34)&gt;0,SUMIF('08 Allocation Data'!$A$5:$A$34,$A14,'08 Allocation Data'!$L$5:$L$34),IFERROR((1-SUM('08 Allocation Data'!$L$5:$L$34))*C14/SUMIFS($C$5:$C$34,'08 Allocation Data'!$L$5:$L$34,0),0)),IFERROR(SUMIF('05 Support &amp; Income'!$A$5:$A$41,G$4,'05 Support &amp; Income'!$F$5:$F$41)*IF('07 Support Drivers'!$D$7="Headcount",SUMIF('08 Allocation Data'!$A$5:$A$34,$A14,'08 Allocation Data'!$D$5:$D$34),IF('07 Support Drivers'!$D$7="FTE",SUMIF('08 Allocation Data'!$A$5:$A$34,$A14,'08 Allocation Data'!$E$5:$E$34),IF('07 Support Drivers'!$D$7="Floor space",SUMIF('08 Allocation Data'!$A$5:$A$34,$A14,'08 Allocation Data'!$F$5:$F$34),IF('07 Support Drivers'!$D$7="Weighted floor space",SUMIF('08 Allocation Data'!$A$5:$A$34,$A14,'08 Allocation Data'!$I$5:$I$34),IF('07 Support Drivers'!$D$7="Cleaning hours",SUMIF('08 Allocation Data'!$A$5:$A$34,$A14,'08 Allocation Data'!$J$5:$J$34),IF('07 Support Drivers'!$D$7="Meals",SUMIF('08 Allocation Data'!$A$5:$A$34,$A14,'08 Allocation Data'!$K$5:$K$34),IF('07 Support Drivers'!$D$7="Direct costs",SUMIF('08 Allocation Data'!$A$5:$A$34,$A14,'08 Allocation Data'!$M$5:$M$34),0)))))))/'07 Support Drivers'!$G$7,0))</f>
        <v>0</v>
      </c>
      <c r="H14" s="55">
        <f>IF('07 Support Drivers'!$D$8="Two-stage finance",SUMIF('05 Support &amp; Income'!$A$5:$A$41,H$4,'05 Support &amp; Income'!$F$5:$F$41)*IF(SUMIF('08 Allocation Data'!$A$5:$A$34,$A14,'08 Allocation Data'!$L$5:$L$34)&gt;0,SUMIF('08 Allocation Data'!$A$5:$A$34,$A14,'08 Allocation Data'!$L$5:$L$34),IFERROR((1-SUM('08 Allocation Data'!$L$5:$L$34))*C14/SUMIFS($C$5:$C$34,'08 Allocation Data'!$L$5:$L$34,0),0)),IFERROR(SUMIF('05 Support &amp; Income'!$A$5:$A$41,H$4,'05 Support &amp; Income'!$F$5:$F$41)*IF('07 Support Drivers'!$D$8="Headcount",SUMIF('08 Allocation Data'!$A$5:$A$34,$A14,'08 Allocation Data'!$D$5:$D$34),IF('07 Support Drivers'!$D$8="FTE",SUMIF('08 Allocation Data'!$A$5:$A$34,$A14,'08 Allocation Data'!$E$5:$E$34),IF('07 Support Drivers'!$D$8="Floor space",SUMIF('08 Allocation Data'!$A$5:$A$34,$A14,'08 Allocation Data'!$F$5:$F$34),IF('07 Support Drivers'!$D$8="Weighted floor space",SUMIF('08 Allocation Data'!$A$5:$A$34,$A14,'08 Allocation Data'!$I$5:$I$34),IF('07 Support Drivers'!$D$8="Cleaning hours",SUMIF('08 Allocation Data'!$A$5:$A$34,$A14,'08 Allocation Data'!$J$5:$J$34),IF('07 Support Drivers'!$D$8="Meals",SUMIF('08 Allocation Data'!$A$5:$A$34,$A14,'08 Allocation Data'!$K$5:$K$34),IF('07 Support Drivers'!$D$8="Direct costs",SUMIF('08 Allocation Data'!$A$5:$A$34,$A14,'08 Allocation Data'!$M$5:$M$34),0)))))))/'07 Support Drivers'!$G$8,0))</f>
        <v>0</v>
      </c>
      <c r="I14" s="55">
        <f>IF('07 Support Drivers'!$D$9="Two-stage finance",SUMIF('05 Support &amp; Income'!$A$5:$A$41,I$4,'05 Support &amp; Income'!$F$5:$F$41)*IF(SUMIF('08 Allocation Data'!$A$5:$A$34,$A14,'08 Allocation Data'!$L$5:$L$34)&gt;0,SUMIF('08 Allocation Data'!$A$5:$A$34,$A14,'08 Allocation Data'!$L$5:$L$34),IFERROR((1-SUM('08 Allocation Data'!$L$5:$L$34))*C14/SUMIFS($C$5:$C$34,'08 Allocation Data'!$L$5:$L$34,0),0)),IFERROR(SUMIF('05 Support &amp; Income'!$A$5:$A$41,I$4,'05 Support &amp; Income'!$F$5:$F$41)*IF('07 Support Drivers'!$D$9="Headcount",SUMIF('08 Allocation Data'!$A$5:$A$34,$A14,'08 Allocation Data'!$D$5:$D$34),IF('07 Support Drivers'!$D$9="FTE",SUMIF('08 Allocation Data'!$A$5:$A$34,$A14,'08 Allocation Data'!$E$5:$E$34),IF('07 Support Drivers'!$D$9="Floor space",SUMIF('08 Allocation Data'!$A$5:$A$34,$A14,'08 Allocation Data'!$F$5:$F$34),IF('07 Support Drivers'!$D$9="Weighted floor space",SUMIF('08 Allocation Data'!$A$5:$A$34,$A14,'08 Allocation Data'!$I$5:$I$34),IF('07 Support Drivers'!$D$9="Cleaning hours",SUMIF('08 Allocation Data'!$A$5:$A$34,$A14,'08 Allocation Data'!$J$5:$J$34),IF('07 Support Drivers'!$D$9="Meals",SUMIF('08 Allocation Data'!$A$5:$A$34,$A14,'08 Allocation Data'!$K$5:$K$34),IF('07 Support Drivers'!$D$9="Direct costs",SUMIF('08 Allocation Data'!$A$5:$A$34,$A14,'08 Allocation Data'!$M$5:$M$34),0)))))))/'07 Support Drivers'!$G$9,0))</f>
        <v>0</v>
      </c>
      <c r="J14" s="55">
        <f>IF('07 Support Drivers'!$D$10="Two-stage finance",SUMIF('05 Support &amp; Income'!$A$5:$A$41,J$4,'05 Support &amp; Income'!$F$5:$F$41)*IF(SUMIF('08 Allocation Data'!$A$5:$A$34,$A14,'08 Allocation Data'!$L$5:$L$34)&gt;0,SUMIF('08 Allocation Data'!$A$5:$A$34,$A14,'08 Allocation Data'!$L$5:$L$34),IFERROR((1-SUM('08 Allocation Data'!$L$5:$L$34))*C14/SUMIFS($C$5:$C$34,'08 Allocation Data'!$L$5:$L$34,0),0)),IFERROR(SUMIF('05 Support &amp; Income'!$A$5:$A$41,J$4,'05 Support &amp; Income'!$F$5:$F$41)*IF('07 Support Drivers'!$D$10="Headcount",SUMIF('08 Allocation Data'!$A$5:$A$34,$A14,'08 Allocation Data'!$D$5:$D$34),IF('07 Support Drivers'!$D$10="FTE",SUMIF('08 Allocation Data'!$A$5:$A$34,$A14,'08 Allocation Data'!$E$5:$E$34),IF('07 Support Drivers'!$D$10="Floor space",SUMIF('08 Allocation Data'!$A$5:$A$34,$A14,'08 Allocation Data'!$F$5:$F$34),IF('07 Support Drivers'!$D$10="Weighted floor space",SUMIF('08 Allocation Data'!$A$5:$A$34,$A14,'08 Allocation Data'!$I$5:$I$34),IF('07 Support Drivers'!$D$10="Cleaning hours",SUMIF('08 Allocation Data'!$A$5:$A$34,$A14,'08 Allocation Data'!$J$5:$J$34),IF('07 Support Drivers'!$D$10="Meals",SUMIF('08 Allocation Data'!$A$5:$A$34,$A14,'08 Allocation Data'!$K$5:$K$34),IF('07 Support Drivers'!$D$10="Direct costs",SUMIF('08 Allocation Data'!$A$5:$A$34,$A14,'08 Allocation Data'!$M$5:$M$34),0)))))))/'07 Support Drivers'!$G$10,0))</f>
        <v>0</v>
      </c>
      <c r="K14" s="55">
        <f>IF('07 Support Drivers'!$D$11="Two-stage finance",SUMIF('05 Support &amp; Income'!$A$5:$A$41,K$4,'05 Support &amp; Income'!$F$5:$F$41)*IF(SUMIF('08 Allocation Data'!$A$5:$A$34,$A14,'08 Allocation Data'!$L$5:$L$34)&gt;0,SUMIF('08 Allocation Data'!$A$5:$A$34,$A14,'08 Allocation Data'!$L$5:$L$34),IFERROR((1-SUM('08 Allocation Data'!$L$5:$L$34))*C14/SUMIFS($C$5:$C$34,'08 Allocation Data'!$L$5:$L$34,0),0)),IFERROR(SUMIF('05 Support &amp; Income'!$A$5:$A$41,K$4,'05 Support &amp; Income'!$F$5:$F$41)*IF('07 Support Drivers'!$D$11="Headcount",SUMIF('08 Allocation Data'!$A$5:$A$34,$A14,'08 Allocation Data'!$D$5:$D$34),IF('07 Support Drivers'!$D$11="FTE",SUMIF('08 Allocation Data'!$A$5:$A$34,$A14,'08 Allocation Data'!$E$5:$E$34),IF('07 Support Drivers'!$D$11="Floor space",SUMIF('08 Allocation Data'!$A$5:$A$34,$A14,'08 Allocation Data'!$F$5:$F$34),IF('07 Support Drivers'!$D$11="Weighted floor space",SUMIF('08 Allocation Data'!$A$5:$A$34,$A14,'08 Allocation Data'!$I$5:$I$34),IF('07 Support Drivers'!$D$11="Cleaning hours",SUMIF('08 Allocation Data'!$A$5:$A$34,$A14,'08 Allocation Data'!$J$5:$J$34),IF('07 Support Drivers'!$D$11="Meals",SUMIF('08 Allocation Data'!$A$5:$A$34,$A14,'08 Allocation Data'!$K$5:$K$34),IF('07 Support Drivers'!$D$11="Direct costs",SUMIF('08 Allocation Data'!$A$5:$A$34,$A14,'08 Allocation Data'!$M$5:$M$34),0)))))))/'07 Support Drivers'!$G$11,0))</f>
        <v>0</v>
      </c>
      <c r="L14" s="55">
        <f>IF('07 Support Drivers'!$D$12="Two-stage finance",SUMIF('05 Support &amp; Income'!$A$5:$A$41,L$4,'05 Support &amp; Income'!$F$5:$F$41)*IF(SUMIF('08 Allocation Data'!$A$5:$A$34,$A14,'08 Allocation Data'!$L$5:$L$34)&gt;0,SUMIF('08 Allocation Data'!$A$5:$A$34,$A14,'08 Allocation Data'!$L$5:$L$34),IFERROR((1-SUM('08 Allocation Data'!$L$5:$L$34))*C14/SUMIFS($C$5:$C$34,'08 Allocation Data'!$L$5:$L$34,0),0)),IFERROR(SUMIF('05 Support &amp; Income'!$A$5:$A$41,L$4,'05 Support &amp; Income'!$F$5:$F$41)*IF('07 Support Drivers'!$D$12="Headcount",SUMIF('08 Allocation Data'!$A$5:$A$34,$A14,'08 Allocation Data'!$D$5:$D$34),IF('07 Support Drivers'!$D$12="FTE",SUMIF('08 Allocation Data'!$A$5:$A$34,$A14,'08 Allocation Data'!$E$5:$E$34),IF('07 Support Drivers'!$D$12="Floor space",SUMIF('08 Allocation Data'!$A$5:$A$34,$A14,'08 Allocation Data'!$F$5:$F$34),IF('07 Support Drivers'!$D$12="Weighted floor space",SUMIF('08 Allocation Data'!$A$5:$A$34,$A14,'08 Allocation Data'!$I$5:$I$34),IF('07 Support Drivers'!$D$12="Cleaning hours",SUMIF('08 Allocation Data'!$A$5:$A$34,$A14,'08 Allocation Data'!$J$5:$J$34),IF('07 Support Drivers'!$D$12="Meals",SUMIF('08 Allocation Data'!$A$5:$A$34,$A14,'08 Allocation Data'!$K$5:$K$34),IF('07 Support Drivers'!$D$12="Direct costs",SUMIF('08 Allocation Data'!$A$5:$A$34,$A14,'08 Allocation Data'!$M$5:$M$34),0)))))))/'07 Support Drivers'!$G$12,0))</f>
        <v>0</v>
      </c>
      <c r="M14" s="55">
        <f>IF('07 Support Drivers'!$D$13="Two-stage finance",SUMIF('05 Support &amp; Income'!$A$5:$A$41,M$4,'05 Support &amp; Income'!$F$5:$F$41)*IF(SUMIF('08 Allocation Data'!$A$5:$A$34,$A14,'08 Allocation Data'!$L$5:$L$34)&gt;0,SUMIF('08 Allocation Data'!$A$5:$A$34,$A14,'08 Allocation Data'!$L$5:$L$34),IFERROR((1-SUM('08 Allocation Data'!$L$5:$L$34))*C14/SUMIFS($C$5:$C$34,'08 Allocation Data'!$L$5:$L$34,0),0)),IFERROR(SUMIF('05 Support &amp; Income'!$A$5:$A$41,M$4,'05 Support &amp; Income'!$F$5:$F$41)*IF('07 Support Drivers'!$D$13="Headcount",SUMIF('08 Allocation Data'!$A$5:$A$34,$A14,'08 Allocation Data'!$D$5:$D$34),IF('07 Support Drivers'!$D$13="FTE",SUMIF('08 Allocation Data'!$A$5:$A$34,$A14,'08 Allocation Data'!$E$5:$E$34),IF('07 Support Drivers'!$D$13="Floor space",SUMIF('08 Allocation Data'!$A$5:$A$34,$A14,'08 Allocation Data'!$F$5:$F$34),IF('07 Support Drivers'!$D$13="Weighted floor space",SUMIF('08 Allocation Data'!$A$5:$A$34,$A14,'08 Allocation Data'!$I$5:$I$34),IF('07 Support Drivers'!$D$13="Cleaning hours",SUMIF('08 Allocation Data'!$A$5:$A$34,$A14,'08 Allocation Data'!$J$5:$J$34),IF('07 Support Drivers'!$D$13="Meals",SUMIF('08 Allocation Data'!$A$5:$A$34,$A14,'08 Allocation Data'!$K$5:$K$34),IF('07 Support Drivers'!$D$13="Direct costs",SUMIF('08 Allocation Data'!$A$5:$A$34,$A14,'08 Allocation Data'!$M$5:$M$34),0)))))))/'07 Support Drivers'!$G$13,0))</f>
        <v>0</v>
      </c>
      <c r="N14" s="55">
        <f>IF('07 Support Drivers'!$D$14="Two-stage finance",SUMIF('05 Support &amp; Income'!$A$5:$A$41,N$4,'05 Support &amp; Income'!$F$5:$F$41)*IF(SUMIF('08 Allocation Data'!$A$5:$A$34,$A14,'08 Allocation Data'!$L$5:$L$34)&gt;0,SUMIF('08 Allocation Data'!$A$5:$A$34,$A14,'08 Allocation Data'!$L$5:$L$34),IFERROR((1-SUM('08 Allocation Data'!$L$5:$L$34))*C14/SUMIFS($C$5:$C$34,'08 Allocation Data'!$L$5:$L$34,0),0)),IFERROR(SUMIF('05 Support &amp; Income'!$A$5:$A$41,N$4,'05 Support &amp; Income'!$F$5:$F$41)*IF('07 Support Drivers'!$D$14="Headcount",SUMIF('08 Allocation Data'!$A$5:$A$34,$A14,'08 Allocation Data'!$D$5:$D$34),IF('07 Support Drivers'!$D$14="FTE",SUMIF('08 Allocation Data'!$A$5:$A$34,$A14,'08 Allocation Data'!$E$5:$E$34),IF('07 Support Drivers'!$D$14="Floor space",SUMIF('08 Allocation Data'!$A$5:$A$34,$A14,'08 Allocation Data'!$F$5:$F$34),IF('07 Support Drivers'!$D$14="Weighted floor space",SUMIF('08 Allocation Data'!$A$5:$A$34,$A14,'08 Allocation Data'!$I$5:$I$34),IF('07 Support Drivers'!$D$14="Cleaning hours",SUMIF('08 Allocation Data'!$A$5:$A$34,$A14,'08 Allocation Data'!$J$5:$J$34),IF('07 Support Drivers'!$D$14="Meals",SUMIF('08 Allocation Data'!$A$5:$A$34,$A14,'08 Allocation Data'!$K$5:$K$34),IF('07 Support Drivers'!$D$14="Direct costs",SUMIF('08 Allocation Data'!$A$5:$A$34,$A14,'08 Allocation Data'!$M$5:$M$34),0)))))))/'07 Support Drivers'!$G$14,0))</f>
        <v>0</v>
      </c>
      <c r="O14" s="55">
        <f>IF('07 Support Drivers'!$D$15="Two-stage finance",SUMIF('05 Support &amp; Income'!$A$5:$A$41,O$4,'05 Support &amp; Income'!$F$5:$F$41)*IF(SUMIF('08 Allocation Data'!$A$5:$A$34,$A14,'08 Allocation Data'!$L$5:$L$34)&gt;0,SUMIF('08 Allocation Data'!$A$5:$A$34,$A14,'08 Allocation Data'!$L$5:$L$34),IFERROR((1-SUM('08 Allocation Data'!$L$5:$L$34))*C14/SUMIFS($C$5:$C$34,'08 Allocation Data'!$L$5:$L$34,0),0)),IFERROR(SUMIF('05 Support &amp; Income'!$A$5:$A$41,O$4,'05 Support &amp; Income'!$F$5:$F$41)*IF('07 Support Drivers'!$D$15="Headcount",SUMIF('08 Allocation Data'!$A$5:$A$34,$A14,'08 Allocation Data'!$D$5:$D$34),IF('07 Support Drivers'!$D$15="FTE",SUMIF('08 Allocation Data'!$A$5:$A$34,$A14,'08 Allocation Data'!$E$5:$E$34),IF('07 Support Drivers'!$D$15="Floor space",SUMIF('08 Allocation Data'!$A$5:$A$34,$A14,'08 Allocation Data'!$F$5:$F$34),IF('07 Support Drivers'!$D$15="Weighted floor space",SUMIF('08 Allocation Data'!$A$5:$A$34,$A14,'08 Allocation Data'!$I$5:$I$34),IF('07 Support Drivers'!$D$15="Cleaning hours",SUMIF('08 Allocation Data'!$A$5:$A$34,$A14,'08 Allocation Data'!$J$5:$J$34),IF('07 Support Drivers'!$D$15="Meals",SUMIF('08 Allocation Data'!$A$5:$A$34,$A14,'08 Allocation Data'!$K$5:$K$34),IF('07 Support Drivers'!$D$15="Direct costs",SUMIF('08 Allocation Data'!$A$5:$A$34,$A14,'08 Allocation Data'!$M$5:$M$34),0)))))))/'07 Support Drivers'!$G$15,0))</f>
        <v>0</v>
      </c>
      <c r="P14" s="55">
        <f>IF('07 Support Drivers'!$D$16="Two-stage finance",SUMIF('05 Support &amp; Income'!$A$5:$A$41,P$4,'05 Support &amp; Income'!$F$5:$F$41)*IF(SUMIF('08 Allocation Data'!$A$5:$A$34,$A14,'08 Allocation Data'!$L$5:$L$34)&gt;0,SUMIF('08 Allocation Data'!$A$5:$A$34,$A14,'08 Allocation Data'!$L$5:$L$34),IFERROR((1-SUM('08 Allocation Data'!$L$5:$L$34))*C14/SUMIFS($C$5:$C$34,'08 Allocation Data'!$L$5:$L$34,0),0)),IFERROR(SUMIF('05 Support &amp; Income'!$A$5:$A$41,P$4,'05 Support &amp; Income'!$F$5:$F$41)*IF('07 Support Drivers'!$D$16="Headcount",SUMIF('08 Allocation Data'!$A$5:$A$34,$A14,'08 Allocation Data'!$D$5:$D$34),IF('07 Support Drivers'!$D$16="FTE",SUMIF('08 Allocation Data'!$A$5:$A$34,$A14,'08 Allocation Data'!$E$5:$E$34),IF('07 Support Drivers'!$D$16="Floor space",SUMIF('08 Allocation Data'!$A$5:$A$34,$A14,'08 Allocation Data'!$F$5:$F$34),IF('07 Support Drivers'!$D$16="Weighted floor space",SUMIF('08 Allocation Data'!$A$5:$A$34,$A14,'08 Allocation Data'!$I$5:$I$34),IF('07 Support Drivers'!$D$16="Cleaning hours",SUMIF('08 Allocation Data'!$A$5:$A$34,$A14,'08 Allocation Data'!$J$5:$J$34),IF('07 Support Drivers'!$D$16="Meals",SUMIF('08 Allocation Data'!$A$5:$A$34,$A14,'08 Allocation Data'!$K$5:$K$34),IF('07 Support Drivers'!$D$16="Direct costs",SUMIF('08 Allocation Data'!$A$5:$A$34,$A14,'08 Allocation Data'!$M$5:$M$34),0)))))))/'07 Support Drivers'!$G$16,0))</f>
        <v>0</v>
      </c>
      <c r="Q14" s="55">
        <f>IF('07 Support Drivers'!$D$17="Two-stage finance",SUMIF('05 Support &amp; Income'!$A$5:$A$41,Q$4,'05 Support &amp; Income'!$F$5:$F$41)*IF(SUMIF('08 Allocation Data'!$A$5:$A$34,$A14,'08 Allocation Data'!$L$5:$L$34)&gt;0,SUMIF('08 Allocation Data'!$A$5:$A$34,$A14,'08 Allocation Data'!$L$5:$L$34),IFERROR((1-SUM('08 Allocation Data'!$L$5:$L$34))*C14/SUMIFS($C$5:$C$34,'08 Allocation Data'!$L$5:$L$34,0),0)),IFERROR(SUMIF('05 Support &amp; Income'!$A$5:$A$41,Q$4,'05 Support &amp; Income'!$F$5:$F$41)*IF('07 Support Drivers'!$D$17="Headcount",SUMIF('08 Allocation Data'!$A$5:$A$34,$A14,'08 Allocation Data'!$D$5:$D$34),IF('07 Support Drivers'!$D$17="FTE",SUMIF('08 Allocation Data'!$A$5:$A$34,$A14,'08 Allocation Data'!$E$5:$E$34),IF('07 Support Drivers'!$D$17="Floor space",SUMIF('08 Allocation Data'!$A$5:$A$34,$A14,'08 Allocation Data'!$F$5:$F$34),IF('07 Support Drivers'!$D$17="Weighted floor space",SUMIF('08 Allocation Data'!$A$5:$A$34,$A14,'08 Allocation Data'!$I$5:$I$34),IF('07 Support Drivers'!$D$17="Cleaning hours",SUMIF('08 Allocation Data'!$A$5:$A$34,$A14,'08 Allocation Data'!$J$5:$J$34),IF('07 Support Drivers'!$D$17="Meals",SUMIF('08 Allocation Data'!$A$5:$A$34,$A14,'08 Allocation Data'!$K$5:$K$34),IF('07 Support Drivers'!$D$17="Direct costs",SUMIF('08 Allocation Data'!$A$5:$A$34,$A14,'08 Allocation Data'!$M$5:$M$34),0)))))))/'07 Support Drivers'!$G$17,0))</f>
        <v>0</v>
      </c>
      <c r="R14" s="48">
        <f t="shared" si="0"/>
        <v>0</v>
      </c>
      <c r="S14" s="48">
        <f>SUMIF('04 Service Costs'!$A$5:$A$31,A14,'04 Service Costs'!$M$5:$M$31)+SUMIF('06 Shared Cost Pools'!$D$21:$D$260,A14,'06 Shared Cost Pools'!$I$21:$I$260)</f>
        <v>0</v>
      </c>
      <c r="T14" s="48">
        <f>SUMIF('04 Service Costs'!$A$5:$A$31,A14,'04 Service Costs'!$N$5:$N$31)+SUMIF('06 Shared Cost Pools'!$D$21:$D$260,A14,'06 Shared Cost Pools'!$J$21:$J$260)</f>
        <v>0</v>
      </c>
      <c r="U14" s="48">
        <f>SUMIF('04 Service Costs'!$A$5:$A$31,A14,'04 Service Costs'!$O$5:$O$31)+SUMIF('06 Shared Cost Pools'!$D$21:$D$260,A14,'06 Shared Cost Pools'!$K$21:$K$260)</f>
        <v>0</v>
      </c>
      <c r="V14" s="48">
        <f t="shared" si="1"/>
        <v>0</v>
      </c>
    </row>
    <row r="15" spans="1:22">
      <c r="A15" s="3" t="s">
        <v>136</v>
      </c>
      <c r="B15" s="3" t="s">
        <v>137</v>
      </c>
      <c r="C15" s="55">
        <f>SUMIF('04 Service Costs'!$A$5:$A$31,A15,'04 Service Costs'!$L$5:$L$31)+SUMIF('05 Support &amp; Income'!$A$5:$A$41,A15,'05 Support &amp; Income'!$F$5:$F$41)</f>
        <v>0</v>
      </c>
      <c r="D15" s="55">
        <f>SUMIF('06 Shared Cost Pools'!$D$21:$D$260,A15,'06 Shared Cost Pools'!$F$21:$F$260)</f>
        <v>0</v>
      </c>
      <c r="E15" s="55">
        <f>IF('07 Support Drivers'!$D$5="Two-stage finance",SUMIF('05 Support &amp; Income'!$A$5:$A$41,E$4,'05 Support &amp; Income'!$F$5:$F$41)*IF(SUMIF('08 Allocation Data'!$A$5:$A$34,$A15,'08 Allocation Data'!$L$5:$L$34)&gt;0,SUMIF('08 Allocation Data'!$A$5:$A$34,$A15,'08 Allocation Data'!$L$5:$L$34),IFERROR((1-SUM('08 Allocation Data'!$L$5:$L$34))*C15/SUMIFS($C$5:$C$34,'08 Allocation Data'!$L$5:$L$34,0),0)),IFERROR(SUMIF('05 Support &amp; Income'!$A$5:$A$41,E$4,'05 Support &amp; Income'!$F$5:$F$41)*IF('07 Support Drivers'!$D$5="Headcount",SUMIF('08 Allocation Data'!$A$5:$A$34,$A15,'08 Allocation Data'!$D$5:$D$34),IF('07 Support Drivers'!$D$5="FTE",SUMIF('08 Allocation Data'!$A$5:$A$34,$A15,'08 Allocation Data'!$E$5:$E$34),IF('07 Support Drivers'!$D$5="Floor space",SUMIF('08 Allocation Data'!$A$5:$A$34,$A15,'08 Allocation Data'!$F$5:$F$34),IF('07 Support Drivers'!$D$5="Weighted floor space",SUMIF('08 Allocation Data'!$A$5:$A$34,$A15,'08 Allocation Data'!$I$5:$I$34),IF('07 Support Drivers'!$D$5="Cleaning hours",SUMIF('08 Allocation Data'!$A$5:$A$34,$A15,'08 Allocation Data'!$J$5:$J$34),IF('07 Support Drivers'!$D$5="Meals",SUMIF('08 Allocation Data'!$A$5:$A$34,$A15,'08 Allocation Data'!$K$5:$K$34),IF('07 Support Drivers'!$D$5="Direct costs",SUMIF('08 Allocation Data'!$A$5:$A$34,$A15,'08 Allocation Data'!$M$5:$M$34),0)))))))/'07 Support Drivers'!$G$5,0))</f>
        <v>0</v>
      </c>
      <c r="F15" s="55">
        <f>IF('07 Support Drivers'!$D$6="Two-stage finance",SUMIF('05 Support &amp; Income'!$A$5:$A$41,F$4,'05 Support &amp; Income'!$F$5:$F$41)*IF(SUMIF('08 Allocation Data'!$A$5:$A$34,$A15,'08 Allocation Data'!$L$5:$L$34)&gt;0,SUMIF('08 Allocation Data'!$A$5:$A$34,$A15,'08 Allocation Data'!$L$5:$L$34),IFERROR((1-SUM('08 Allocation Data'!$L$5:$L$34))*C15/SUMIFS($C$5:$C$34,'08 Allocation Data'!$L$5:$L$34,0),0)),IFERROR(SUMIF('05 Support &amp; Income'!$A$5:$A$41,F$4,'05 Support &amp; Income'!$F$5:$F$41)*IF('07 Support Drivers'!$D$6="Headcount",SUMIF('08 Allocation Data'!$A$5:$A$34,$A15,'08 Allocation Data'!$D$5:$D$34),IF('07 Support Drivers'!$D$6="FTE",SUMIF('08 Allocation Data'!$A$5:$A$34,$A15,'08 Allocation Data'!$E$5:$E$34),IF('07 Support Drivers'!$D$6="Floor space",SUMIF('08 Allocation Data'!$A$5:$A$34,$A15,'08 Allocation Data'!$F$5:$F$34),IF('07 Support Drivers'!$D$6="Weighted floor space",SUMIF('08 Allocation Data'!$A$5:$A$34,$A15,'08 Allocation Data'!$I$5:$I$34),IF('07 Support Drivers'!$D$6="Cleaning hours",SUMIF('08 Allocation Data'!$A$5:$A$34,$A15,'08 Allocation Data'!$J$5:$J$34),IF('07 Support Drivers'!$D$6="Meals",SUMIF('08 Allocation Data'!$A$5:$A$34,$A15,'08 Allocation Data'!$K$5:$K$34),IF('07 Support Drivers'!$D$6="Direct costs",SUMIF('08 Allocation Data'!$A$5:$A$34,$A15,'08 Allocation Data'!$M$5:$M$34),0)))))))/'07 Support Drivers'!$G$6,0))</f>
        <v>0</v>
      </c>
      <c r="G15" s="55">
        <f>IF('07 Support Drivers'!$D$7="Two-stage finance",SUMIF('05 Support &amp; Income'!$A$5:$A$41,G$4,'05 Support &amp; Income'!$F$5:$F$41)*IF(SUMIF('08 Allocation Data'!$A$5:$A$34,$A15,'08 Allocation Data'!$L$5:$L$34)&gt;0,SUMIF('08 Allocation Data'!$A$5:$A$34,$A15,'08 Allocation Data'!$L$5:$L$34),IFERROR((1-SUM('08 Allocation Data'!$L$5:$L$34))*C15/SUMIFS($C$5:$C$34,'08 Allocation Data'!$L$5:$L$34,0),0)),IFERROR(SUMIF('05 Support &amp; Income'!$A$5:$A$41,G$4,'05 Support &amp; Income'!$F$5:$F$41)*IF('07 Support Drivers'!$D$7="Headcount",SUMIF('08 Allocation Data'!$A$5:$A$34,$A15,'08 Allocation Data'!$D$5:$D$34),IF('07 Support Drivers'!$D$7="FTE",SUMIF('08 Allocation Data'!$A$5:$A$34,$A15,'08 Allocation Data'!$E$5:$E$34),IF('07 Support Drivers'!$D$7="Floor space",SUMIF('08 Allocation Data'!$A$5:$A$34,$A15,'08 Allocation Data'!$F$5:$F$34),IF('07 Support Drivers'!$D$7="Weighted floor space",SUMIF('08 Allocation Data'!$A$5:$A$34,$A15,'08 Allocation Data'!$I$5:$I$34),IF('07 Support Drivers'!$D$7="Cleaning hours",SUMIF('08 Allocation Data'!$A$5:$A$34,$A15,'08 Allocation Data'!$J$5:$J$34),IF('07 Support Drivers'!$D$7="Meals",SUMIF('08 Allocation Data'!$A$5:$A$34,$A15,'08 Allocation Data'!$K$5:$K$34),IF('07 Support Drivers'!$D$7="Direct costs",SUMIF('08 Allocation Data'!$A$5:$A$34,$A15,'08 Allocation Data'!$M$5:$M$34),0)))))))/'07 Support Drivers'!$G$7,0))</f>
        <v>0</v>
      </c>
      <c r="H15" s="55">
        <f>IF('07 Support Drivers'!$D$8="Two-stage finance",SUMIF('05 Support &amp; Income'!$A$5:$A$41,H$4,'05 Support &amp; Income'!$F$5:$F$41)*IF(SUMIF('08 Allocation Data'!$A$5:$A$34,$A15,'08 Allocation Data'!$L$5:$L$34)&gt;0,SUMIF('08 Allocation Data'!$A$5:$A$34,$A15,'08 Allocation Data'!$L$5:$L$34),IFERROR((1-SUM('08 Allocation Data'!$L$5:$L$34))*C15/SUMIFS($C$5:$C$34,'08 Allocation Data'!$L$5:$L$34,0),0)),IFERROR(SUMIF('05 Support &amp; Income'!$A$5:$A$41,H$4,'05 Support &amp; Income'!$F$5:$F$41)*IF('07 Support Drivers'!$D$8="Headcount",SUMIF('08 Allocation Data'!$A$5:$A$34,$A15,'08 Allocation Data'!$D$5:$D$34),IF('07 Support Drivers'!$D$8="FTE",SUMIF('08 Allocation Data'!$A$5:$A$34,$A15,'08 Allocation Data'!$E$5:$E$34),IF('07 Support Drivers'!$D$8="Floor space",SUMIF('08 Allocation Data'!$A$5:$A$34,$A15,'08 Allocation Data'!$F$5:$F$34),IF('07 Support Drivers'!$D$8="Weighted floor space",SUMIF('08 Allocation Data'!$A$5:$A$34,$A15,'08 Allocation Data'!$I$5:$I$34),IF('07 Support Drivers'!$D$8="Cleaning hours",SUMIF('08 Allocation Data'!$A$5:$A$34,$A15,'08 Allocation Data'!$J$5:$J$34),IF('07 Support Drivers'!$D$8="Meals",SUMIF('08 Allocation Data'!$A$5:$A$34,$A15,'08 Allocation Data'!$K$5:$K$34),IF('07 Support Drivers'!$D$8="Direct costs",SUMIF('08 Allocation Data'!$A$5:$A$34,$A15,'08 Allocation Data'!$M$5:$M$34),0)))))))/'07 Support Drivers'!$G$8,0))</f>
        <v>0</v>
      </c>
      <c r="I15" s="55">
        <f>IF('07 Support Drivers'!$D$9="Two-stage finance",SUMIF('05 Support &amp; Income'!$A$5:$A$41,I$4,'05 Support &amp; Income'!$F$5:$F$41)*IF(SUMIF('08 Allocation Data'!$A$5:$A$34,$A15,'08 Allocation Data'!$L$5:$L$34)&gt;0,SUMIF('08 Allocation Data'!$A$5:$A$34,$A15,'08 Allocation Data'!$L$5:$L$34),IFERROR((1-SUM('08 Allocation Data'!$L$5:$L$34))*C15/SUMIFS($C$5:$C$34,'08 Allocation Data'!$L$5:$L$34,0),0)),IFERROR(SUMIF('05 Support &amp; Income'!$A$5:$A$41,I$4,'05 Support &amp; Income'!$F$5:$F$41)*IF('07 Support Drivers'!$D$9="Headcount",SUMIF('08 Allocation Data'!$A$5:$A$34,$A15,'08 Allocation Data'!$D$5:$D$34),IF('07 Support Drivers'!$D$9="FTE",SUMIF('08 Allocation Data'!$A$5:$A$34,$A15,'08 Allocation Data'!$E$5:$E$34),IF('07 Support Drivers'!$D$9="Floor space",SUMIF('08 Allocation Data'!$A$5:$A$34,$A15,'08 Allocation Data'!$F$5:$F$34),IF('07 Support Drivers'!$D$9="Weighted floor space",SUMIF('08 Allocation Data'!$A$5:$A$34,$A15,'08 Allocation Data'!$I$5:$I$34),IF('07 Support Drivers'!$D$9="Cleaning hours",SUMIF('08 Allocation Data'!$A$5:$A$34,$A15,'08 Allocation Data'!$J$5:$J$34),IF('07 Support Drivers'!$D$9="Meals",SUMIF('08 Allocation Data'!$A$5:$A$34,$A15,'08 Allocation Data'!$K$5:$K$34),IF('07 Support Drivers'!$D$9="Direct costs",SUMIF('08 Allocation Data'!$A$5:$A$34,$A15,'08 Allocation Data'!$M$5:$M$34),0)))))))/'07 Support Drivers'!$G$9,0))</f>
        <v>0</v>
      </c>
      <c r="J15" s="55">
        <f>IF('07 Support Drivers'!$D$10="Two-stage finance",SUMIF('05 Support &amp; Income'!$A$5:$A$41,J$4,'05 Support &amp; Income'!$F$5:$F$41)*IF(SUMIF('08 Allocation Data'!$A$5:$A$34,$A15,'08 Allocation Data'!$L$5:$L$34)&gt;0,SUMIF('08 Allocation Data'!$A$5:$A$34,$A15,'08 Allocation Data'!$L$5:$L$34),IFERROR((1-SUM('08 Allocation Data'!$L$5:$L$34))*C15/SUMIFS($C$5:$C$34,'08 Allocation Data'!$L$5:$L$34,0),0)),IFERROR(SUMIF('05 Support &amp; Income'!$A$5:$A$41,J$4,'05 Support &amp; Income'!$F$5:$F$41)*IF('07 Support Drivers'!$D$10="Headcount",SUMIF('08 Allocation Data'!$A$5:$A$34,$A15,'08 Allocation Data'!$D$5:$D$34),IF('07 Support Drivers'!$D$10="FTE",SUMIF('08 Allocation Data'!$A$5:$A$34,$A15,'08 Allocation Data'!$E$5:$E$34),IF('07 Support Drivers'!$D$10="Floor space",SUMIF('08 Allocation Data'!$A$5:$A$34,$A15,'08 Allocation Data'!$F$5:$F$34),IF('07 Support Drivers'!$D$10="Weighted floor space",SUMIF('08 Allocation Data'!$A$5:$A$34,$A15,'08 Allocation Data'!$I$5:$I$34),IF('07 Support Drivers'!$D$10="Cleaning hours",SUMIF('08 Allocation Data'!$A$5:$A$34,$A15,'08 Allocation Data'!$J$5:$J$34),IF('07 Support Drivers'!$D$10="Meals",SUMIF('08 Allocation Data'!$A$5:$A$34,$A15,'08 Allocation Data'!$K$5:$K$34),IF('07 Support Drivers'!$D$10="Direct costs",SUMIF('08 Allocation Data'!$A$5:$A$34,$A15,'08 Allocation Data'!$M$5:$M$34),0)))))))/'07 Support Drivers'!$G$10,0))</f>
        <v>0</v>
      </c>
      <c r="K15" s="55">
        <f>IF('07 Support Drivers'!$D$11="Two-stage finance",SUMIF('05 Support &amp; Income'!$A$5:$A$41,K$4,'05 Support &amp; Income'!$F$5:$F$41)*IF(SUMIF('08 Allocation Data'!$A$5:$A$34,$A15,'08 Allocation Data'!$L$5:$L$34)&gt;0,SUMIF('08 Allocation Data'!$A$5:$A$34,$A15,'08 Allocation Data'!$L$5:$L$34),IFERROR((1-SUM('08 Allocation Data'!$L$5:$L$34))*C15/SUMIFS($C$5:$C$34,'08 Allocation Data'!$L$5:$L$34,0),0)),IFERROR(SUMIF('05 Support &amp; Income'!$A$5:$A$41,K$4,'05 Support &amp; Income'!$F$5:$F$41)*IF('07 Support Drivers'!$D$11="Headcount",SUMIF('08 Allocation Data'!$A$5:$A$34,$A15,'08 Allocation Data'!$D$5:$D$34),IF('07 Support Drivers'!$D$11="FTE",SUMIF('08 Allocation Data'!$A$5:$A$34,$A15,'08 Allocation Data'!$E$5:$E$34),IF('07 Support Drivers'!$D$11="Floor space",SUMIF('08 Allocation Data'!$A$5:$A$34,$A15,'08 Allocation Data'!$F$5:$F$34),IF('07 Support Drivers'!$D$11="Weighted floor space",SUMIF('08 Allocation Data'!$A$5:$A$34,$A15,'08 Allocation Data'!$I$5:$I$34),IF('07 Support Drivers'!$D$11="Cleaning hours",SUMIF('08 Allocation Data'!$A$5:$A$34,$A15,'08 Allocation Data'!$J$5:$J$34),IF('07 Support Drivers'!$D$11="Meals",SUMIF('08 Allocation Data'!$A$5:$A$34,$A15,'08 Allocation Data'!$K$5:$K$34),IF('07 Support Drivers'!$D$11="Direct costs",SUMIF('08 Allocation Data'!$A$5:$A$34,$A15,'08 Allocation Data'!$M$5:$M$34),0)))))))/'07 Support Drivers'!$G$11,0))</f>
        <v>0</v>
      </c>
      <c r="L15" s="55">
        <f>IF('07 Support Drivers'!$D$12="Two-stage finance",SUMIF('05 Support &amp; Income'!$A$5:$A$41,L$4,'05 Support &amp; Income'!$F$5:$F$41)*IF(SUMIF('08 Allocation Data'!$A$5:$A$34,$A15,'08 Allocation Data'!$L$5:$L$34)&gt;0,SUMIF('08 Allocation Data'!$A$5:$A$34,$A15,'08 Allocation Data'!$L$5:$L$34),IFERROR((1-SUM('08 Allocation Data'!$L$5:$L$34))*C15/SUMIFS($C$5:$C$34,'08 Allocation Data'!$L$5:$L$34,0),0)),IFERROR(SUMIF('05 Support &amp; Income'!$A$5:$A$41,L$4,'05 Support &amp; Income'!$F$5:$F$41)*IF('07 Support Drivers'!$D$12="Headcount",SUMIF('08 Allocation Data'!$A$5:$A$34,$A15,'08 Allocation Data'!$D$5:$D$34),IF('07 Support Drivers'!$D$12="FTE",SUMIF('08 Allocation Data'!$A$5:$A$34,$A15,'08 Allocation Data'!$E$5:$E$34),IF('07 Support Drivers'!$D$12="Floor space",SUMIF('08 Allocation Data'!$A$5:$A$34,$A15,'08 Allocation Data'!$F$5:$F$34),IF('07 Support Drivers'!$D$12="Weighted floor space",SUMIF('08 Allocation Data'!$A$5:$A$34,$A15,'08 Allocation Data'!$I$5:$I$34),IF('07 Support Drivers'!$D$12="Cleaning hours",SUMIF('08 Allocation Data'!$A$5:$A$34,$A15,'08 Allocation Data'!$J$5:$J$34),IF('07 Support Drivers'!$D$12="Meals",SUMIF('08 Allocation Data'!$A$5:$A$34,$A15,'08 Allocation Data'!$K$5:$K$34),IF('07 Support Drivers'!$D$12="Direct costs",SUMIF('08 Allocation Data'!$A$5:$A$34,$A15,'08 Allocation Data'!$M$5:$M$34),0)))))))/'07 Support Drivers'!$G$12,0))</f>
        <v>0</v>
      </c>
      <c r="M15" s="55">
        <f>IF('07 Support Drivers'!$D$13="Two-stage finance",SUMIF('05 Support &amp; Income'!$A$5:$A$41,M$4,'05 Support &amp; Income'!$F$5:$F$41)*IF(SUMIF('08 Allocation Data'!$A$5:$A$34,$A15,'08 Allocation Data'!$L$5:$L$34)&gt;0,SUMIF('08 Allocation Data'!$A$5:$A$34,$A15,'08 Allocation Data'!$L$5:$L$34),IFERROR((1-SUM('08 Allocation Data'!$L$5:$L$34))*C15/SUMIFS($C$5:$C$34,'08 Allocation Data'!$L$5:$L$34,0),0)),IFERROR(SUMIF('05 Support &amp; Income'!$A$5:$A$41,M$4,'05 Support &amp; Income'!$F$5:$F$41)*IF('07 Support Drivers'!$D$13="Headcount",SUMIF('08 Allocation Data'!$A$5:$A$34,$A15,'08 Allocation Data'!$D$5:$D$34),IF('07 Support Drivers'!$D$13="FTE",SUMIF('08 Allocation Data'!$A$5:$A$34,$A15,'08 Allocation Data'!$E$5:$E$34),IF('07 Support Drivers'!$D$13="Floor space",SUMIF('08 Allocation Data'!$A$5:$A$34,$A15,'08 Allocation Data'!$F$5:$F$34),IF('07 Support Drivers'!$D$13="Weighted floor space",SUMIF('08 Allocation Data'!$A$5:$A$34,$A15,'08 Allocation Data'!$I$5:$I$34),IF('07 Support Drivers'!$D$13="Cleaning hours",SUMIF('08 Allocation Data'!$A$5:$A$34,$A15,'08 Allocation Data'!$J$5:$J$34),IF('07 Support Drivers'!$D$13="Meals",SUMIF('08 Allocation Data'!$A$5:$A$34,$A15,'08 Allocation Data'!$K$5:$K$34),IF('07 Support Drivers'!$D$13="Direct costs",SUMIF('08 Allocation Data'!$A$5:$A$34,$A15,'08 Allocation Data'!$M$5:$M$34),0)))))))/'07 Support Drivers'!$G$13,0))</f>
        <v>0</v>
      </c>
      <c r="N15" s="55">
        <f>IF('07 Support Drivers'!$D$14="Two-stage finance",SUMIF('05 Support &amp; Income'!$A$5:$A$41,N$4,'05 Support &amp; Income'!$F$5:$F$41)*IF(SUMIF('08 Allocation Data'!$A$5:$A$34,$A15,'08 Allocation Data'!$L$5:$L$34)&gt;0,SUMIF('08 Allocation Data'!$A$5:$A$34,$A15,'08 Allocation Data'!$L$5:$L$34),IFERROR((1-SUM('08 Allocation Data'!$L$5:$L$34))*C15/SUMIFS($C$5:$C$34,'08 Allocation Data'!$L$5:$L$34,0),0)),IFERROR(SUMIF('05 Support &amp; Income'!$A$5:$A$41,N$4,'05 Support &amp; Income'!$F$5:$F$41)*IF('07 Support Drivers'!$D$14="Headcount",SUMIF('08 Allocation Data'!$A$5:$A$34,$A15,'08 Allocation Data'!$D$5:$D$34),IF('07 Support Drivers'!$D$14="FTE",SUMIF('08 Allocation Data'!$A$5:$A$34,$A15,'08 Allocation Data'!$E$5:$E$34),IF('07 Support Drivers'!$D$14="Floor space",SUMIF('08 Allocation Data'!$A$5:$A$34,$A15,'08 Allocation Data'!$F$5:$F$34),IF('07 Support Drivers'!$D$14="Weighted floor space",SUMIF('08 Allocation Data'!$A$5:$A$34,$A15,'08 Allocation Data'!$I$5:$I$34),IF('07 Support Drivers'!$D$14="Cleaning hours",SUMIF('08 Allocation Data'!$A$5:$A$34,$A15,'08 Allocation Data'!$J$5:$J$34),IF('07 Support Drivers'!$D$14="Meals",SUMIF('08 Allocation Data'!$A$5:$A$34,$A15,'08 Allocation Data'!$K$5:$K$34),IF('07 Support Drivers'!$D$14="Direct costs",SUMIF('08 Allocation Data'!$A$5:$A$34,$A15,'08 Allocation Data'!$M$5:$M$34),0)))))))/'07 Support Drivers'!$G$14,0))</f>
        <v>0</v>
      </c>
      <c r="O15" s="55">
        <f>IF('07 Support Drivers'!$D$15="Two-stage finance",SUMIF('05 Support &amp; Income'!$A$5:$A$41,O$4,'05 Support &amp; Income'!$F$5:$F$41)*IF(SUMIF('08 Allocation Data'!$A$5:$A$34,$A15,'08 Allocation Data'!$L$5:$L$34)&gt;0,SUMIF('08 Allocation Data'!$A$5:$A$34,$A15,'08 Allocation Data'!$L$5:$L$34),IFERROR((1-SUM('08 Allocation Data'!$L$5:$L$34))*C15/SUMIFS($C$5:$C$34,'08 Allocation Data'!$L$5:$L$34,0),0)),IFERROR(SUMIF('05 Support &amp; Income'!$A$5:$A$41,O$4,'05 Support &amp; Income'!$F$5:$F$41)*IF('07 Support Drivers'!$D$15="Headcount",SUMIF('08 Allocation Data'!$A$5:$A$34,$A15,'08 Allocation Data'!$D$5:$D$34),IF('07 Support Drivers'!$D$15="FTE",SUMIF('08 Allocation Data'!$A$5:$A$34,$A15,'08 Allocation Data'!$E$5:$E$34),IF('07 Support Drivers'!$D$15="Floor space",SUMIF('08 Allocation Data'!$A$5:$A$34,$A15,'08 Allocation Data'!$F$5:$F$34),IF('07 Support Drivers'!$D$15="Weighted floor space",SUMIF('08 Allocation Data'!$A$5:$A$34,$A15,'08 Allocation Data'!$I$5:$I$34),IF('07 Support Drivers'!$D$15="Cleaning hours",SUMIF('08 Allocation Data'!$A$5:$A$34,$A15,'08 Allocation Data'!$J$5:$J$34),IF('07 Support Drivers'!$D$15="Meals",SUMIF('08 Allocation Data'!$A$5:$A$34,$A15,'08 Allocation Data'!$K$5:$K$34),IF('07 Support Drivers'!$D$15="Direct costs",SUMIF('08 Allocation Data'!$A$5:$A$34,$A15,'08 Allocation Data'!$M$5:$M$34),0)))))))/'07 Support Drivers'!$G$15,0))</f>
        <v>0</v>
      </c>
      <c r="P15" s="55">
        <f>IF('07 Support Drivers'!$D$16="Two-stage finance",SUMIF('05 Support &amp; Income'!$A$5:$A$41,P$4,'05 Support &amp; Income'!$F$5:$F$41)*IF(SUMIF('08 Allocation Data'!$A$5:$A$34,$A15,'08 Allocation Data'!$L$5:$L$34)&gt;0,SUMIF('08 Allocation Data'!$A$5:$A$34,$A15,'08 Allocation Data'!$L$5:$L$34),IFERROR((1-SUM('08 Allocation Data'!$L$5:$L$34))*C15/SUMIFS($C$5:$C$34,'08 Allocation Data'!$L$5:$L$34,0),0)),IFERROR(SUMIF('05 Support &amp; Income'!$A$5:$A$41,P$4,'05 Support &amp; Income'!$F$5:$F$41)*IF('07 Support Drivers'!$D$16="Headcount",SUMIF('08 Allocation Data'!$A$5:$A$34,$A15,'08 Allocation Data'!$D$5:$D$34),IF('07 Support Drivers'!$D$16="FTE",SUMIF('08 Allocation Data'!$A$5:$A$34,$A15,'08 Allocation Data'!$E$5:$E$34),IF('07 Support Drivers'!$D$16="Floor space",SUMIF('08 Allocation Data'!$A$5:$A$34,$A15,'08 Allocation Data'!$F$5:$F$34),IF('07 Support Drivers'!$D$16="Weighted floor space",SUMIF('08 Allocation Data'!$A$5:$A$34,$A15,'08 Allocation Data'!$I$5:$I$34),IF('07 Support Drivers'!$D$16="Cleaning hours",SUMIF('08 Allocation Data'!$A$5:$A$34,$A15,'08 Allocation Data'!$J$5:$J$34),IF('07 Support Drivers'!$D$16="Meals",SUMIF('08 Allocation Data'!$A$5:$A$34,$A15,'08 Allocation Data'!$K$5:$K$34),IF('07 Support Drivers'!$D$16="Direct costs",SUMIF('08 Allocation Data'!$A$5:$A$34,$A15,'08 Allocation Data'!$M$5:$M$34),0)))))))/'07 Support Drivers'!$G$16,0))</f>
        <v>0</v>
      </c>
      <c r="Q15" s="55">
        <f>IF('07 Support Drivers'!$D$17="Two-stage finance",SUMIF('05 Support &amp; Income'!$A$5:$A$41,Q$4,'05 Support &amp; Income'!$F$5:$F$41)*IF(SUMIF('08 Allocation Data'!$A$5:$A$34,$A15,'08 Allocation Data'!$L$5:$L$34)&gt;0,SUMIF('08 Allocation Data'!$A$5:$A$34,$A15,'08 Allocation Data'!$L$5:$L$34),IFERROR((1-SUM('08 Allocation Data'!$L$5:$L$34))*C15/SUMIFS($C$5:$C$34,'08 Allocation Data'!$L$5:$L$34,0),0)),IFERROR(SUMIF('05 Support &amp; Income'!$A$5:$A$41,Q$4,'05 Support &amp; Income'!$F$5:$F$41)*IF('07 Support Drivers'!$D$17="Headcount",SUMIF('08 Allocation Data'!$A$5:$A$34,$A15,'08 Allocation Data'!$D$5:$D$34),IF('07 Support Drivers'!$D$17="FTE",SUMIF('08 Allocation Data'!$A$5:$A$34,$A15,'08 Allocation Data'!$E$5:$E$34),IF('07 Support Drivers'!$D$17="Floor space",SUMIF('08 Allocation Data'!$A$5:$A$34,$A15,'08 Allocation Data'!$F$5:$F$34),IF('07 Support Drivers'!$D$17="Weighted floor space",SUMIF('08 Allocation Data'!$A$5:$A$34,$A15,'08 Allocation Data'!$I$5:$I$34),IF('07 Support Drivers'!$D$17="Cleaning hours",SUMIF('08 Allocation Data'!$A$5:$A$34,$A15,'08 Allocation Data'!$J$5:$J$34),IF('07 Support Drivers'!$D$17="Meals",SUMIF('08 Allocation Data'!$A$5:$A$34,$A15,'08 Allocation Data'!$K$5:$K$34),IF('07 Support Drivers'!$D$17="Direct costs",SUMIF('08 Allocation Data'!$A$5:$A$34,$A15,'08 Allocation Data'!$M$5:$M$34),0)))))))/'07 Support Drivers'!$G$17,0))</f>
        <v>0</v>
      </c>
      <c r="R15" s="48">
        <f t="shared" si="0"/>
        <v>0</v>
      </c>
      <c r="S15" s="48">
        <f>SUMIF('04 Service Costs'!$A$5:$A$31,A15,'04 Service Costs'!$M$5:$M$31)+SUMIF('06 Shared Cost Pools'!$D$21:$D$260,A15,'06 Shared Cost Pools'!$I$21:$I$260)</f>
        <v>0</v>
      </c>
      <c r="T15" s="48">
        <f>SUMIF('04 Service Costs'!$A$5:$A$31,A15,'04 Service Costs'!$N$5:$N$31)+SUMIF('06 Shared Cost Pools'!$D$21:$D$260,A15,'06 Shared Cost Pools'!$J$21:$J$260)</f>
        <v>0</v>
      </c>
      <c r="U15" s="48">
        <f>SUMIF('04 Service Costs'!$A$5:$A$31,A15,'04 Service Costs'!$O$5:$O$31)+SUMIF('06 Shared Cost Pools'!$D$21:$D$260,A15,'06 Shared Cost Pools'!$K$21:$K$260)</f>
        <v>0</v>
      </c>
      <c r="V15" s="48">
        <f t="shared" si="1"/>
        <v>0</v>
      </c>
    </row>
    <row r="16" spans="1:22">
      <c r="A16" s="3" t="s">
        <v>138</v>
      </c>
      <c r="B16" s="3" t="s">
        <v>140</v>
      </c>
      <c r="C16" s="55">
        <f>SUMIF('04 Service Costs'!$A$5:$A$31,A16,'04 Service Costs'!$L$5:$L$31)+SUMIF('05 Support &amp; Income'!$A$5:$A$41,A16,'05 Support &amp; Income'!$F$5:$F$41)</f>
        <v>0</v>
      </c>
      <c r="D16" s="55">
        <f>SUMIF('06 Shared Cost Pools'!$D$21:$D$260,A16,'06 Shared Cost Pools'!$F$21:$F$260)</f>
        <v>0</v>
      </c>
      <c r="E16" s="55">
        <f>IF('07 Support Drivers'!$D$5="Two-stage finance",SUMIF('05 Support &amp; Income'!$A$5:$A$41,E$4,'05 Support &amp; Income'!$F$5:$F$41)*IF(SUMIF('08 Allocation Data'!$A$5:$A$34,$A16,'08 Allocation Data'!$L$5:$L$34)&gt;0,SUMIF('08 Allocation Data'!$A$5:$A$34,$A16,'08 Allocation Data'!$L$5:$L$34),IFERROR((1-SUM('08 Allocation Data'!$L$5:$L$34))*C16/SUMIFS($C$5:$C$34,'08 Allocation Data'!$L$5:$L$34,0),0)),IFERROR(SUMIF('05 Support &amp; Income'!$A$5:$A$41,E$4,'05 Support &amp; Income'!$F$5:$F$41)*IF('07 Support Drivers'!$D$5="Headcount",SUMIF('08 Allocation Data'!$A$5:$A$34,$A16,'08 Allocation Data'!$D$5:$D$34),IF('07 Support Drivers'!$D$5="FTE",SUMIF('08 Allocation Data'!$A$5:$A$34,$A16,'08 Allocation Data'!$E$5:$E$34),IF('07 Support Drivers'!$D$5="Floor space",SUMIF('08 Allocation Data'!$A$5:$A$34,$A16,'08 Allocation Data'!$F$5:$F$34),IF('07 Support Drivers'!$D$5="Weighted floor space",SUMIF('08 Allocation Data'!$A$5:$A$34,$A16,'08 Allocation Data'!$I$5:$I$34),IF('07 Support Drivers'!$D$5="Cleaning hours",SUMIF('08 Allocation Data'!$A$5:$A$34,$A16,'08 Allocation Data'!$J$5:$J$34),IF('07 Support Drivers'!$D$5="Meals",SUMIF('08 Allocation Data'!$A$5:$A$34,$A16,'08 Allocation Data'!$K$5:$K$34),IF('07 Support Drivers'!$D$5="Direct costs",SUMIF('08 Allocation Data'!$A$5:$A$34,$A16,'08 Allocation Data'!$M$5:$M$34),0)))))))/'07 Support Drivers'!$G$5,0))</f>
        <v>0</v>
      </c>
      <c r="F16" s="55">
        <f>IF('07 Support Drivers'!$D$6="Two-stage finance",SUMIF('05 Support &amp; Income'!$A$5:$A$41,F$4,'05 Support &amp; Income'!$F$5:$F$41)*IF(SUMIF('08 Allocation Data'!$A$5:$A$34,$A16,'08 Allocation Data'!$L$5:$L$34)&gt;0,SUMIF('08 Allocation Data'!$A$5:$A$34,$A16,'08 Allocation Data'!$L$5:$L$34),IFERROR((1-SUM('08 Allocation Data'!$L$5:$L$34))*C16/SUMIFS($C$5:$C$34,'08 Allocation Data'!$L$5:$L$34,0),0)),IFERROR(SUMIF('05 Support &amp; Income'!$A$5:$A$41,F$4,'05 Support &amp; Income'!$F$5:$F$41)*IF('07 Support Drivers'!$D$6="Headcount",SUMIF('08 Allocation Data'!$A$5:$A$34,$A16,'08 Allocation Data'!$D$5:$D$34),IF('07 Support Drivers'!$D$6="FTE",SUMIF('08 Allocation Data'!$A$5:$A$34,$A16,'08 Allocation Data'!$E$5:$E$34),IF('07 Support Drivers'!$D$6="Floor space",SUMIF('08 Allocation Data'!$A$5:$A$34,$A16,'08 Allocation Data'!$F$5:$F$34),IF('07 Support Drivers'!$D$6="Weighted floor space",SUMIF('08 Allocation Data'!$A$5:$A$34,$A16,'08 Allocation Data'!$I$5:$I$34),IF('07 Support Drivers'!$D$6="Cleaning hours",SUMIF('08 Allocation Data'!$A$5:$A$34,$A16,'08 Allocation Data'!$J$5:$J$34),IF('07 Support Drivers'!$D$6="Meals",SUMIF('08 Allocation Data'!$A$5:$A$34,$A16,'08 Allocation Data'!$K$5:$K$34),IF('07 Support Drivers'!$D$6="Direct costs",SUMIF('08 Allocation Data'!$A$5:$A$34,$A16,'08 Allocation Data'!$M$5:$M$34),0)))))))/'07 Support Drivers'!$G$6,0))</f>
        <v>0</v>
      </c>
      <c r="G16" s="55">
        <f>IF('07 Support Drivers'!$D$7="Two-stage finance",SUMIF('05 Support &amp; Income'!$A$5:$A$41,G$4,'05 Support &amp; Income'!$F$5:$F$41)*IF(SUMIF('08 Allocation Data'!$A$5:$A$34,$A16,'08 Allocation Data'!$L$5:$L$34)&gt;0,SUMIF('08 Allocation Data'!$A$5:$A$34,$A16,'08 Allocation Data'!$L$5:$L$34),IFERROR((1-SUM('08 Allocation Data'!$L$5:$L$34))*C16/SUMIFS($C$5:$C$34,'08 Allocation Data'!$L$5:$L$34,0),0)),IFERROR(SUMIF('05 Support &amp; Income'!$A$5:$A$41,G$4,'05 Support &amp; Income'!$F$5:$F$41)*IF('07 Support Drivers'!$D$7="Headcount",SUMIF('08 Allocation Data'!$A$5:$A$34,$A16,'08 Allocation Data'!$D$5:$D$34),IF('07 Support Drivers'!$D$7="FTE",SUMIF('08 Allocation Data'!$A$5:$A$34,$A16,'08 Allocation Data'!$E$5:$E$34),IF('07 Support Drivers'!$D$7="Floor space",SUMIF('08 Allocation Data'!$A$5:$A$34,$A16,'08 Allocation Data'!$F$5:$F$34),IF('07 Support Drivers'!$D$7="Weighted floor space",SUMIF('08 Allocation Data'!$A$5:$A$34,$A16,'08 Allocation Data'!$I$5:$I$34),IF('07 Support Drivers'!$D$7="Cleaning hours",SUMIF('08 Allocation Data'!$A$5:$A$34,$A16,'08 Allocation Data'!$J$5:$J$34),IF('07 Support Drivers'!$D$7="Meals",SUMIF('08 Allocation Data'!$A$5:$A$34,$A16,'08 Allocation Data'!$K$5:$K$34),IF('07 Support Drivers'!$D$7="Direct costs",SUMIF('08 Allocation Data'!$A$5:$A$34,$A16,'08 Allocation Data'!$M$5:$M$34),0)))))))/'07 Support Drivers'!$G$7,0))</f>
        <v>0</v>
      </c>
      <c r="H16" s="55">
        <f>IF('07 Support Drivers'!$D$8="Two-stage finance",SUMIF('05 Support &amp; Income'!$A$5:$A$41,H$4,'05 Support &amp; Income'!$F$5:$F$41)*IF(SUMIF('08 Allocation Data'!$A$5:$A$34,$A16,'08 Allocation Data'!$L$5:$L$34)&gt;0,SUMIF('08 Allocation Data'!$A$5:$A$34,$A16,'08 Allocation Data'!$L$5:$L$34),IFERROR((1-SUM('08 Allocation Data'!$L$5:$L$34))*C16/SUMIFS($C$5:$C$34,'08 Allocation Data'!$L$5:$L$34,0),0)),IFERROR(SUMIF('05 Support &amp; Income'!$A$5:$A$41,H$4,'05 Support &amp; Income'!$F$5:$F$41)*IF('07 Support Drivers'!$D$8="Headcount",SUMIF('08 Allocation Data'!$A$5:$A$34,$A16,'08 Allocation Data'!$D$5:$D$34),IF('07 Support Drivers'!$D$8="FTE",SUMIF('08 Allocation Data'!$A$5:$A$34,$A16,'08 Allocation Data'!$E$5:$E$34),IF('07 Support Drivers'!$D$8="Floor space",SUMIF('08 Allocation Data'!$A$5:$A$34,$A16,'08 Allocation Data'!$F$5:$F$34),IF('07 Support Drivers'!$D$8="Weighted floor space",SUMIF('08 Allocation Data'!$A$5:$A$34,$A16,'08 Allocation Data'!$I$5:$I$34),IF('07 Support Drivers'!$D$8="Cleaning hours",SUMIF('08 Allocation Data'!$A$5:$A$34,$A16,'08 Allocation Data'!$J$5:$J$34),IF('07 Support Drivers'!$D$8="Meals",SUMIF('08 Allocation Data'!$A$5:$A$34,$A16,'08 Allocation Data'!$K$5:$K$34),IF('07 Support Drivers'!$D$8="Direct costs",SUMIF('08 Allocation Data'!$A$5:$A$34,$A16,'08 Allocation Data'!$M$5:$M$34),0)))))))/'07 Support Drivers'!$G$8,0))</f>
        <v>0</v>
      </c>
      <c r="I16" s="55">
        <f>IF('07 Support Drivers'!$D$9="Two-stage finance",SUMIF('05 Support &amp; Income'!$A$5:$A$41,I$4,'05 Support &amp; Income'!$F$5:$F$41)*IF(SUMIF('08 Allocation Data'!$A$5:$A$34,$A16,'08 Allocation Data'!$L$5:$L$34)&gt;0,SUMIF('08 Allocation Data'!$A$5:$A$34,$A16,'08 Allocation Data'!$L$5:$L$34),IFERROR((1-SUM('08 Allocation Data'!$L$5:$L$34))*C16/SUMIFS($C$5:$C$34,'08 Allocation Data'!$L$5:$L$34,0),0)),IFERROR(SUMIF('05 Support &amp; Income'!$A$5:$A$41,I$4,'05 Support &amp; Income'!$F$5:$F$41)*IF('07 Support Drivers'!$D$9="Headcount",SUMIF('08 Allocation Data'!$A$5:$A$34,$A16,'08 Allocation Data'!$D$5:$D$34),IF('07 Support Drivers'!$D$9="FTE",SUMIF('08 Allocation Data'!$A$5:$A$34,$A16,'08 Allocation Data'!$E$5:$E$34),IF('07 Support Drivers'!$D$9="Floor space",SUMIF('08 Allocation Data'!$A$5:$A$34,$A16,'08 Allocation Data'!$F$5:$F$34),IF('07 Support Drivers'!$D$9="Weighted floor space",SUMIF('08 Allocation Data'!$A$5:$A$34,$A16,'08 Allocation Data'!$I$5:$I$34),IF('07 Support Drivers'!$D$9="Cleaning hours",SUMIF('08 Allocation Data'!$A$5:$A$34,$A16,'08 Allocation Data'!$J$5:$J$34),IF('07 Support Drivers'!$D$9="Meals",SUMIF('08 Allocation Data'!$A$5:$A$34,$A16,'08 Allocation Data'!$K$5:$K$34),IF('07 Support Drivers'!$D$9="Direct costs",SUMIF('08 Allocation Data'!$A$5:$A$34,$A16,'08 Allocation Data'!$M$5:$M$34),0)))))))/'07 Support Drivers'!$G$9,0))</f>
        <v>0</v>
      </c>
      <c r="J16" s="55">
        <f>IF('07 Support Drivers'!$D$10="Two-stage finance",SUMIF('05 Support &amp; Income'!$A$5:$A$41,J$4,'05 Support &amp; Income'!$F$5:$F$41)*IF(SUMIF('08 Allocation Data'!$A$5:$A$34,$A16,'08 Allocation Data'!$L$5:$L$34)&gt;0,SUMIF('08 Allocation Data'!$A$5:$A$34,$A16,'08 Allocation Data'!$L$5:$L$34),IFERROR((1-SUM('08 Allocation Data'!$L$5:$L$34))*C16/SUMIFS($C$5:$C$34,'08 Allocation Data'!$L$5:$L$34,0),0)),IFERROR(SUMIF('05 Support &amp; Income'!$A$5:$A$41,J$4,'05 Support &amp; Income'!$F$5:$F$41)*IF('07 Support Drivers'!$D$10="Headcount",SUMIF('08 Allocation Data'!$A$5:$A$34,$A16,'08 Allocation Data'!$D$5:$D$34),IF('07 Support Drivers'!$D$10="FTE",SUMIF('08 Allocation Data'!$A$5:$A$34,$A16,'08 Allocation Data'!$E$5:$E$34),IF('07 Support Drivers'!$D$10="Floor space",SUMIF('08 Allocation Data'!$A$5:$A$34,$A16,'08 Allocation Data'!$F$5:$F$34),IF('07 Support Drivers'!$D$10="Weighted floor space",SUMIF('08 Allocation Data'!$A$5:$A$34,$A16,'08 Allocation Data'!$I$5:$I$34),IF('07 Support Drivers'!$D$10="Cleaning hours",SUMIF('08 Allocation Data'!$A$5:$A$34,$A16,'08 Allocation Data'!$J$5:$J$34),IF('07 Support Drivers'!$D$10="Meals",SUMIF('08 Allocation Data'!$A$5:$A$34,$A16,'08 Allocation Data'!$K$5:$K$34),IF('07 Support Drivers'!$D$10="Direct costs",SUMIF('08 Allocation Data'!$A$5:$A$34,$A16,'08 Allocation Data'!$M$5:$M$34),0)))))))/'07 Support Drivers'!$G$10,0))</f>
        <v>0</v>
      </c>
      <c r="K16" s="55">
        <f>IF('07 Support Drivers'!$D$11="Two-stage finance",SUMIF('05 Support &amp; Income'!$A$5:$A$41,K$4,'05 Support &amp; Income'!$F$5:$F$41)*IF(SUMIF('08 Allocation Data'!$A$5:$A$34,$A16,'08 Allocation Data'!$L$5:$L$34)&gt;0,SUMIF('08 Allocation Data'!$A$5:$A$34,$A16,'08 Allocation Data'!$L$5:$L$34),IFERROR((1-SUM('08 Allocation Data'!$L$5:$L$34))*C16/SUMIFS($C$5:$C$34,'08 Allocation Data'!$L$5:$L$34,0),0)),IFERROR(SUMIF('05 Support &amp; Income'!$A$5:$A$41,K$4,'05 Support &amp; Income'!$F$5:$F$41)*IF('07 Support Drivers'!$D$11="Headcount",SUMIF('08 Allocation Data'!$A$5:$A$34,$A16,'08 Allocation Data'!$D$5:$D$34),IF('07 Support Drivers'!$D$11="FTE",SUMIF('08 Allocation Data'!$A$5:$A$34,$A16,'08 Allocation Data'!$E$5:$E$34),IF('07 Support Drivers'!$D$11="Floor space",SUMIF('08 Allocation Data'!$A$5:$A$34,$A16,'08 Allocation Data'!$F$5:$F$34),IF('07 Support Drivers'!$D$11="Weighted floor space",SUMIF('08 Allocation Data'!$A$5:$A$34,$A16,'08 Allocation Data'!$I$5:$I$34),IF('07 Support Drivers'!$D$11="Cleaning hours",SUMIF('08 Allocation Data'!$A$5:$A$34,$A16,'08 Allocation Data'!$J$5:$J$34),IF('07 Support Drivers'!$D$11="Meals",SUMIF('08 Allocation Data'!$A$5:$A$34,$A16,'08 Allocation Data'!$K$5:$K$34),IF('07 Support Drivers'!$D$11="Direct costs",SUMIF('08 Allocation Data'!$A$5:$A$34,$A16,'08 Allocation Data'!$M$5:$M$34),0)))))))/'07 Support Drivers'!$G$11,0))</f>
        <v>0</v>
      </c>
      <c r="L16" s="55">
        <f>IF('07 Support Drivers'!$D$12="Two-stage finance",SUMIF('05 Support &amp; Income'!$A$5:$A$41,L$4,'05 Support &amp; Income'!$F$5:$F$41)*IF(SUMIF('08 Allocation Data'!$A$5:$A$34,$A16,'08 Allocation Data'!$L$5:$L$34)&gt;0,SUMIF('08 Allocation Data'!$A$5:$A$34,$A16,'08 Allocation Data'!$L$5:$L$34),IFERROR((1-SUM('08 Allocation Data'!$L$5:$L$34))*C16/SUMIFS($C$5:$C$34,'08 Allocation Data'!$L$5:$L$34,0),0)),IFERROR(SUMIF('05 Support &amp; Income'!$A$5:$A$41,L$4,'05 Support &amp; Income'!$F$5:$F$41)*IF('07 Support Drivers'!$D$12="Headcount",SUMIF('08 Allocation Data'!$A$5:$A$34,$A16,'08 Allocation Data'!$D$5:$D$34),IF('07 Support Drivers'!$D$12="FTE",SUMIF('08 Allocation Data'!$A$5:$A$34,$A16,'08 Allocation Data'!$E$5:$E$34),IF('07 Support Drivers'!$D$12="Floor space",SUMIF('08 Allocation Data'!$A$5:$A$34,$A16,'08 Allocation Data'!$F$5:$F$34),IF('07 Support Drivers'!$D$12="Weighted floor space",SUMIF('08 Allocation Data'!$A$5:$A$34,$A16,'08 Allocation Data'!$I$5:$I$34),IF('07 Support Drivers'!$D$12="Cleaning hours",SUMIF('08 Allocation Data'!$A$5:$A$34,$A16,'08 Allocation Data'!$J$5:$J$34),IF('07 Support Drivers'!$D$12="Meals",SUMIF('08 Allocation Data'!$A$5:$A$34,$A16,'08 Allocation Data'!$K$5:$K$34),IF('07 Support Drivers'!$D$12="Direct costs",SUMIF('08 Allocation Data'!$A$5:$A$34,$A16,'08 Allocation Data'!$M$5:$M$34),0)))))))/'07 Support Drivers'!$G$12,0))</f>
        <v>0</v>
      </c>
      <c r="M16" s="55">
        <f>IF('07 Support Drivers'!$D$13="Two-stage finance",SUMIF('05 Support &amp; Income'!$A$5:$A$41,M$4,'05 Support &amp; Income'!$F$5:$F$41)*IF(SUMIF('08 Allocation Data'!$A$5:$A$34,$A16,'08 Allocation Data'!$L$5:$L$34)&gt;0,SUMIF('08 Allocation Data'!$A$5:$A$34,$A16,'08 Allocation Data'!$L$5:$L$34),IFERROR((1-SUM('08 Allocation Data'!$L$5:$L$34))*C16/SUMIFS($C$5:$C$34,'08 Allocation Data'!$L$5:$L$34,0),0)),IFERROR(SUMIF('05 Support &amp; Income'!$A$5:$A$41,M$4,'05 Support &amp; Income'!$F$5:$F$41)*IF('07 Support Drivers'!$D$13="Headcount",SUMIF('08 Allocation Data'!$A$5:$A$34,$A16,'08 Allocation Data'!$D$5:$D$34),IF('07 Support Drivers'!$D$13="FTE",SUMIF('08 Allocation Data'!$A$5:$A$34,$A16,'08 Allocation Data'!$E$5:$E$34),IF('07 Support Drivers'!$D$13="Floor space",SUMIF('08 Allocation Data'!$A$5:$A$34,$A16,'08 Allocation Data'!$F$5:$F$34),IF('07 Support Drivers'!$D$13="Weighted floor space",SUMIF('08 Allocation Data'!$A$5:$A$34,$A16,'08 Allocation Data'!$I$5:$I$34),IF('07 Support Drivers'!$D$13="Cleaning hours",SUMIF('08 Allocation Data'!$A$5:$A$34,$A16,'08 Allocation Data'!$J$5:$J$34),IF('07 Support Drivers'!$D$13="Meals",SUMIF('08 Allocation Data'!$A$5:$A$34,$A16,'08 Allocation Data'!$K$5:$K$34),IF('07 Support Drivers'!$D$13="Direct costs",SUMIF('08 Allocation Data'!$A$5:$A$34,$A16,'08 Allocation Data'!$M$5:$M$34),0)))))))/'07 Support Drivers'!$G$13,0))</f>
        <v>0</v>
      </c>
      <c r="N16" s="55">
        <f>IF('07 Support Drivers'!$D$14="Two-stage finance",SUMIF('05 Support &amp; Income'!$A$5:$A$41,N$4,'05 Support &amp; Income'!$F$5:$F$41)*IF(SUMIF('08 Allocation Data'!$A$5:$A$34,$A16,'08 Allocation Data'!$L$5:$L$34)&gt;0,SUMIF('08 Allocation Data'!$A$5:$A$34,$A16,'08 Allocation Data'!$L$5:$L$34),IFERROR((1-SUM('08 Allocation Data'!$L$5:$L$34))*C16/SUMIFS($C$5:$C$34,'08 Allocation Data'!$L$5:$L$34,0),0)),IFERROR(SUMIF('05 Support &amp; Income'!$A$5:$A$41,N$4,'05 Support &amp; Income'!$F$5:$F$41)*IF('07 Support Drivers'!$D$14="Headcount",SUMIF('08 Allocation Data'!$A$5:$A$34,$A16,'08 Allocation Data'!$D$5:$D$34),IF('07 Support Drivers'!$D$14="FTE",SUMIF('08 Allocation Data'!$A$5:$A$34,$A16,'08 Allocation Data'!$E$5:$E$34),IF('07 Support Drivers'!$D$14="Floor space",SUMIF('08 Allocation Data'!$A$5:$A$34,$A16,'08 Allocation Data'!$F$5:$F$34),IF('07 Support Drivers'!$D$14="Weighted floor space",SUMIF('08 Allocation Data'!$A$5:$A$34,$A16,'08 Allocation Data'!$I$5:$I$34),IF('07 Support Drivers'!$D$14="Cleaning hours",SUMIF('08 Allocation Data'!$A$5:$A$34,$A16,'08 Allocation Data'!$J$5:$J$34),IF('07 Support Drivers'!$D$14="Meals",SUMIF('08 Allocation Data'!$A$5:$A$34,$A16,'08 Allocation Data'!$K$5:$K$34),IF('07 Support Drivers'!$D$14="Direct costs",SUMIF('08 Allocation Data'!$A$5:$A$34,$A16,'08 Allocation Data'!$M$5:$M$34),0)))))))/'07 Support Drivers'!$G$14,0))</f>
        <v>0</v>
      </c>
      <c r="O16" s="55">
        <f>IF('07 Support Drivers'!$D$15="Two-stage finance",SUMIF('05 Support &amp; Income'!$A$5:$A$41,O$4,'05 Support &amp; Income'!$F$5:$F$41)*IF(SUMIF('08 Allocation Data'!$A$5:$A$34,$A16,'08 Allocation Data'!$L$5:$L$34)&gt;0,SUMIF('08 Allocation Data'!$A$5:$A$34,$A16,'08 Allocation Data'!$L$5:$L$34),IFERROR((1-SUM('08 Allocation Data'!$L$5:$L$34))*C16/SUMIFS($C$5:$C$34,'08 Allocation Data'!$L$5:$L$34,0),0)),IFERROR(SUMIF('05 Support &amp; Income'!$A$5:$A$41,O$4,'05 Support &amp; Income'!$F$5:$F$41)*IF('07 Support Drivers'!$D$15="Headcount",SUMIF('08 Allocation Data'!$A$5:$A$34,$A16,'08 Allocation Data'!$D$5:$D$34),IF('07 Support Drivers'!$D$15="FTE",SUMIF('08 Allocation Data'!$A$5:$A$34,$A16,'08 Allocation Data'!$E$5:$E$34),IF('07 Support Drivers'!$D$15="Floor space",SUMIF('08 Allocation Data'!$A$5:$A$34,$A16,'08 Allocation Data'!$F$5:$F$34),IF('07 Support Drivers'!$D$15="Weighted floor space",SUMIF('08 Allocation Data'!$A$5:$A$34,$A16,'08 Allocation Data'!$I$5:$I$34),IF('07 Support Drivers'!$D$15="Cleaning hours",SUMIF('08 Allocation Data'!$A$5:$A$34,$A16,'08 Allocation Data'!$J$5:$J$34),IF('07 Support Drivers'!$D$15="Meals",SUMIF('08 Allocation Data'!$A$5:$A$34,$A16,'08 Allocation Data'!$K$5:$K$34),IF('07 Support Drivers'!$D$15="Direct costs",SUMIF('08 Allocation Data'!$A$5:$A$34,$A16,'08 Allocation Data'!$M$5:$M$34),0)))))))/'07 Support Drivers'!$G$15,0))</f>
        <v>0</v>
      </c>
      <c r="P16" s="55">
        <f>IF('07 Support Drivers'!$D$16="Two-stage finance",SUMIF('05 Support &amp; Income'!$A$5:$A$41,P$4,'05 Support &amp; Income'!$F$5:$F$41)*IF(SUMIF('08 Allocation Data'!$A$5:$A$34,$A16,'08 Allocation Data'!$L$5:$L$34)&gt;0,SUMIF('08 Allocation Data'!$A$5:$A$34,$A16,'08 Allocation Data'!$L$5:$L$34),IFERROR((1-SUM('08 Allocation Data'!$L$5:$L$34))*C16/SUMIFS($C$5:$C$34,'08 Allocation Data'!$L$5:$L$34,0),0)),IFERROR(SUMIF('05 Support &amp; Income'!$A$5:$A$41,P$4,'05 Support &amp; Income'!$F$5:$F$41)*IF('07 Support Drivers'!$D$16="Headcount",SUMIF('08 Allocation Data'!$A$5:$A$34,$A16,'08 Allocation Data'!$D$5:$D$34),IF('07 Support Drivers'!$D$16="FTE",SUMIF('08 Allocation Data'!$A$5:$A$34,$A16,'08 Allocation Data'!$E$5:$E$34),IF('07 Support Drivers'!$D$16="Floor space",SUMIF('08 Allocation Data'!$A$5:$A$34,$A16,'08 Allocation Data'!$F$5:$F$34),IF('07 Support Drivers'!$D$16="Weighted floor space",SUMIF('08 Allocation Data'!$A$5:$A$34,$A16,'08 Allocation Data'!$I$5:$I$34),IF('07 Support Drivers'!$D$16="Cleaning hours",SUMIF('08 Allocation Data'!$A$5:$A$34,$A16,'08 Allocation Data'!$J$5:$J$34),IF('07 Support Drivers'!$D$16="Meals",SUMIF('08 Allocation Data'!$A$5:$A$34,$A16,'08 Allocation Data'!$K$5:$K$34),IF('07 Support Drivers'!$D$16="Direct costs",SUMIF('08 Allocation Data'!$A$5:$A$34,$A16,'08 Allocation Data'!$M$5:$M$34),0)))))))/'07 Support Drivers'!$G$16,0))</f>
        <v>0</v>
      </c>
      <c r="Q16" s="55">
        <f>IF('07 Support Drivers'!$D$17="Two-stage finance",SUMIF('05 Support &amp; Income'!$A$5:$A$41,Q$4,'05 Support &amp; Income'!$F$5:$F$41)*IF(SUMIF('08 Allocation Data'!$A$5:$A$34,$A16,'08 Allocation Data'!$L$5:$L$34)&gt;0,SUMIF('08 Allocation Data'!$A$5:$A$34,$A16,'08 Allocation Data'!$L$5:$L$34),IFERROR((1-SUM('08 Allocation Data'!$L$5:$L$34))*C16/SUMIFS($C$5:$C$34,'08 Allocation Data'!$L$5:$L$34,0),0)),IFERROR(SUMIF('05 Support &amp; Income'!$A$5:$A$41,Q$4,'05 Support &amp; Income'!$F$5:$F$41)*IF('07 Support Drivers'!$D$17="Headcount",SUMIF('08 Allocation Data'!$A$5:$A$34,$A16,'08 Allocation Data'!$D$5:$D$34),IF('07 Support Drivers'!$D$17="FTE",SUMIF('08 Allocation Data'!$A$5:$A$34,$A16,'08 Allocation Data'!$E$5:$E$34),IF('07 Support Drivers'!$D$17="Floor space",SUMIF('08 Allocation Data'!$A$5:$A$34,$A16,'08 Allocation Data'!$F$5:$F$34),IF('07 Support Drivers'!$D$17="Weighted floor space",SUMIF('08 Allocation Data'!$A$5:$A$34,$A16,'08 Allocation Data'!$I$5:$I$34),IF('07 Support Drivers'!$D$17="Cleaning hours",SUMIF('08 Allocation Data'!$A$5:$A$34,$A16,'08 Allocation Data'!$J$5:$J$34),IF('07 Support Drivers'!$D$17="Meals",SUMIF('08 Allocation Data'!$A$5:$A$34,$A16,'08 Allocation Data'!$K$5:$K$34),IF('07 Support Drivers'!$D$17="Direct costs",SUMIF('08 Allocation Data'!$A$5:$A$34,$A16,'08 Allocation Data'!$M$5:$M$34),0)))))))/'07 Support Drivers'!$G$17,0))</f>
        <v>0</v>
      </c>
      <c r="R16" s="48">
        <f t="shared" si="0"/>
        <v>0</v>
      </c>
      <c r="S16" s="48">
        <f>SUMIF('04 Service Costs'!$A$5:$A$31,A16,'04 Service Costs'!$M$5:$M$31)+SUMIF('06 Shared Cost Pools'!$D$21:$D$260,A16,'06 Shared Cost Pools'!$I$21:$I$260)</f>
        <v>0</v>
      </c>
      <c r="T16" s="48">
        <f>SUMIF('04 Service Costs'!$A$5:$A$31,A16,'04 Service Costs'!$N$5:$N$31)+SUMIF('06 Shared Cost Pools'!$D$21:$D$260,A16,'06 Shared Cost Pools'!$J$21:$J$260)</f>
        <v>0</v>
      </c>
      <c r="U16" s="48">
        <f>SUMIF('04 Service Costs'!$A$5:$A$31,A16,'04 Service Costs'!$O$5:$O$31)+SUMIF('06 Shared Cost Pools'!$D$21:$D$260,A16,'06 Shared Cost Pools'!$K$21:$K$260)</f>
        <v>0</v>
      </c>
      <c r="V16" s="48">
        <f t="shared" si="1"/>
        <v>0</v>
      </c>
    </row>
    <row r="17" spans="1:22">
      <c r="A17" s="3" t="s">
        <v>141</v>
      </c>
      <c r="B17" s="3" t="s">
        <v>142</v>
      </c>
      <c r="C17" s="55">
        <f>SUMIF('04 Service Costs'!$A$5:$A$31,A17,'04 Service Costs'!$L$5:$L$31)+SUMIF('05 Support &amp; Income'!$A$5:$A$41,A17,'05 Support &amp; Income'!$F$5:$F$41)</f>
        <v>0</v>
      </c>
      <c r="D17" s="55">
        <f>SUMIF('06 Shared Cost Pools'!$D$21:$D$260,A17,'06 Shared Cost Pools'!$F$21:$F$260)</f>
        <v>0</v>
      </c>
      <c r="E17" s="55">
        <f>IF('07 Support Drivers'!$D$5="Two-stage finance",SUMIF('05 Support &amp; Income'!$A$5:$A$41,E$4,'05 Support &amp; Income'!$F$5:$F$41)*IF(SUMIF('08 Allocation Data'!$A$5:$A$34,$A17,'08 Allocation Data'!$L$5:$L$34)&gt;0,SUMIF('08 Allocation Data'!$A$5:$A$34,$A17,'08 Allocation Data'!$L$5:$L$34),IFERROR((1-SUM('08 Allocation Data'!$L$5:$L$34))*C17/SUMIFS($C$5:$C$34,'08 Allocation Data'!$L$5:$L$34,0),0)),IFERROR(SUMIF('05 Support &amp; Income'!$A$5:$A$41,E$4,'05 Support &amp; Income'!$F$5:$F$41)*IF('07 Support Drivers'!$D$5="Headcount",SUMIF('08 Allocation Data'!$A$5:$A$34,$A17,'08 Allocation Data'!$D$5:$D$34),IF('07 Support Drivers'!$D$5="FTE",SUMIF('08 Allocation Data'!$A$5:$A$34,$A17,'08 Allocation Data'!$E$5:$E$34),IF('07 Support Drivers'!$D$5="Floor space",SUMIF('08 Allocation Data'!$A$5:$A$34,$A17,'08 Allocation Data'!$F$5:$F$34),IF('07 Support Drivers'!$D$5="Weighted floor space",SUMIF('08 Allocation Data'!$A$5:$A$34,$A17,'08 Allocation Data'!$I$5:$I$34),IF('07 Support Drivers'!$D$5="Cleaning hours",SUMIF('08 Allocation Data'!$A$5:$A$34,$A17,'08 Allocation Data'!$J$5:$J$34),IF('07 Support Drivers'!$D$5="Meals",SUMIF('08 Allocation Data'!$A$5:$A$34,$A17,'08 Allocation Data'!$K$5:$K$34),IF('07 Support Drivers'!$D$5="Direct costs",SUMIF('08 Allocation Data'!$A$5:$A$34,$A17,'08 Allocation Data'!$M$5:$M$34),0)))))))/'07 Support Drivers'!$G$5,0))</f>
        <v>0</v>
      </c>
      <c r="F17" s="55">
        <f>IF('07 Support Drivers'!$D$6="Two-stage finance",SUMIF('05 Support &amp; Income'!$A$5:$A$41,F$4,'05 Support &amp; Income'!$F$5:$F$41)*IF(SUMIF('08 Allocation Data'!$A$5:$A$34,$A17,'08 Allocation Data'!$L$5:$L$34)&gt;0,SUMIF('08 Allocation Data'!$A$5:$A$34,$A17,'08 Allocation Data'!$L$5:$L$34),IFERROR((1-SUM('08 Allocation Data'!$L$5:$L$34))*C17/SUMIFS($C$5:$C$34,'08 Allocation Data'!$L$5:$L$34,0),0)),IFERROR(SUMIF('05 Support &amp; Income'!$A$5:$A$41,F$4,'05 Support &amp; Income'!$F$5:$F$41)*IF('07 Support Drivers'!$D$6="Headcount",SUMIF('08 Allocation Data'!$A$5:$A$34,$A17,'08 Allocation Data'!$D$5:$D$34),IF('07 Support Drivers'!$D$6="FTE",SUMIF('08 Allocation Data'!$A$5:$A$34,$A17,'08 Allocation Data'!$E$5:$E$34),IF('07 Support Drivers'!$D$6="Floor space",SUMIF('08 Allocation Data'!$A$5:$A$34,$A17,'08 Allocation Data'!$F$5:$F$34),IF('07 Support Drivers'!$D$6="Weighted floor space",SUMIF('08 Allocation Data'!$A$5:$A$34,$A17,'08 Allocation Data'!$I$5:$I$34),IF('07 Support Drivers'!$D$6="Cleaning hours",SUMIF('08 Allocation Data'!$A$5:$A$34,$A17,'08 Allocation Data'!$J$5:$J$34),IF('07 Support Drivers'!$D$6="Meals",SUMIF('08 Allocation Data'!$A$5:$A$34,$A17,'08 Allocation Data'!$K$5:$K$34),IF('07 Support Drivers'!$D$6="Direct costs",SUMIF('08 Allocation Data'!$A$5:$A$34,$A17,'08 Allocation Data'!$M$5:$M$34),0)))))))/'07 Support Drivers'!$G$6,0))</f>
        <v>0</v>
      </c>
      <c r="G17" s="55">
        <f>IF('07 Support Drivers'!$D$7="Two-stage finance",SUMIF('05 Support &amp; Income'!$A$5:$A$41,G$4,'05 Support &amp; Income'!$F$5:$F$41)*IF(SUMIF('08 Allocation Data'!$A$5:$A$34,$A17,'08 Allocation Data'!$L$5:$L$34)&gt;0,SUMIF('08 Allocation Data'!$A$5:$A$34,$A17,'08 Allocation Data'!$L$5:$L$34),IFERROR((1-SUM('08 Allocation Data'!$L$5:$L$34))*C17/SUMIFS($C$5:$C$34,'08 Allocation Data'!$L$5:$L$34,0),0)),IFERROR(SUMIF('05 Support &amp; Income'!$A$5:$A$41,G$4,'05 Support &amp; Income'!$F$5:$F$41)*IF('07 Support Drivers'!$D$7="Headcount",SUMIF('08 Allocation Data'!$A$5:$A$34,$A17,'08 Allocation Data'!$D$5:$D$34),IF('07 Support Drivers'!$D$7="FTE",SUMIF('08 Allocation Data'!$A$5:$A$34,$A17,'08 Allocation Data'!$E$5:$E$34),IF('07 Support Drivers'!$D$7="Floor space",SUMIF('08 Allocation Data'!$A$5:$A$34,$A17,'08 Allocation Data'!$F$5:$F$34),IF('07 Support Drivers'!$D$7="Weighted floor space",SUMIF('08 Allocation Data'!$A$5:$A$34,$A17,'08 Allocation Data'!$I$5:$I$34),IF('07 Support Drivers'!$D$7="Cleaning hours",SUMIF('08 Allocation Data'!$A$5:$A$34,$A17,'08 Allocation Data'!$J$5:$J$34),IF('07 Support Drivers'!$D$7="Meals",SUMIF('08 Allocation Data'!$A$5:$A$34,$A17,'08 Allocation Data'!$K$5:$K$34),IF('07 Support Drivers'!$D$7="Direct costs",SUMIF('08 Allocation Data'!$A$5:$A$34,$A17,'08 Allocation Data'!$M$5:$M$34),0)))))))/'07 Support Drivers'!$G$7,0))</f>
        <v>0</v>
      </c>
      <c r="H17" s="55">
        <f>IF('07 Support Drivers'!$D$8="Two-stage finance",SUMIF('05 Support &amp; Income'!$A$5:$A$41,H$4,'05 Support &amp; Income'!$F$5:$F$41)*IF(SUMIF('08 Allocation Data'!$A$5:$A$34,$A17,'08 Allocation Data'!$L$5:$L$34)&gt;0,SUMIF('08 Allocation Data'!$A$5:$A$34,$A17,'08 Allocation Data'!$L$5:$L$34),IFERROR((1-SUM('08 Allocation Data'!$L$5:$L$34))*C17/SUMIFS($C$5:$C$34,'08 Allocation Data'!$L$5:$L$34,0),0)),IFERROR(SUMIF('05 Support &amp; Income'!$A$5:$A$41,H$4,'05 Support &amp; Income'!$F$5:$F$41)*IF('07 Support Drivers'!$D$8="Headcount",SUMIF('08 Allocation Data'!$A$5:$A$34,$A17,'08 Allocation Data'!$D$5:$D$34),IF('07 Support Drivers'!$D$8="FTE",SUMIF('08 Allocation Data'!$A$5:$A$34,$A17,'08 Allocation Data'!$E$5:$E$34),IF('07 Support Drivers'!$D$8="Floor space",SUMIF('08 Allocation Data'!$A$5:$A$34,$A17,'08 Allocation Data'!$F$5:$F$34),IF('07 Support Drivers'!$D$8="Weighted floor space",SUMIF('08 Allocation Data'!$A$5:$A$34,$A17,'08 Allocation Data'!$I$5:$I$34),IF('07 Support Drivers'!$D$8="Cleaning hours",SUMIF('08 Allocation Data'!$A$5:$A$34,$A17,'08 Allocation Data'!$J$5:$J$34),IF('07 Support Drivers'!$D$8="Meals",SUMIF('08 Allocation Data'!$A$5:$A$34,$A17,'08 Allocation Data'!$K$5:$K$34),IF('07 Support Drivers'!$D$8="Direct costs",SUMIF('08 Allocation Data'!$A$5:$A$34,$A17,'08 Allocation Data'!$M$5:$M$34),0)))))))/'07 Support Drivers'!$G$8,0))</f>
        <v>0</v>
      </c>
      <c r="I17" s="55">
        <f>IF('07 Support Drivers'!$D$9="Two-stage finance",SUMIF('05 Support &amp; Income'!$A$5:$A$41,I$4,'05 Support &amp; Income'!$F$5:$F$41)*IF(SUMIF('08 Allocation Data'!$A$5:$A$34,$A17,'08 Allocation Data'!$L$5:$L$34)&gt;0,SUMIF('08 Allocation Data'!$A$5:$A$34,$A17,'08 Allocation Data'!$L$5:$L$34),IFERROR((1-SUM('08 Allocation Data'!$L$5:$L$34))*C17/SUMIFS($C$5:$C$34,'08 Allocation Data'!$L$5:$L$34,0),0)),IFERROR(SUMIF('05 Support &amp; Income'!$A$5:$A$41,I$4,'05 Support &amp; Income'!$F$5:$F$41)*IF('07 Support Drivers'!$D$9="Headcount",SUMIF('08 Allocation Data'!$A$5:$A$34,$A17,'08 Allocation Data'!$D$5:$D$34),IF('07 Support Drivers'!$D$9="FTE",SUMIF('08 Allocation Data'!$A$5:$A$34,$A17,'08 Allocation Data'!$E$5:$E$34),IF('07 Support Drivers'!$D$9="Floor space",SUMIF('08 Allocation Data'!$A$5:$A$34,$A17,'08 Allocation Data'!$F$5:$F$34),IF('07 Support Drivers'!$D$9="Weighted floor space",SUMIF('08 Allocation Data'!$A$5:$A$34,$A17,'08 Allocation Data'!$I$5:$I$34),IF('07 Support Drivers'!$D$9="Cleaning hours",SUMIF('08 Allocation Data'!$A$5:$A$34,$A17,'08 Allocation Data'!$J$5:$J$34),IF('07 Support Drivers'!$D$9="Meals",SUMIF('08 Allocation Data'!$A$5:$A$34,$A17,'08 Allocation Data'!$K$5:$K$34),IF('07 Support Drivers'!$D$9="Direct costs",SUMIF('08 Allocation Data'!$A$5:$A$34,$A17,'08 Allocation Data'!$M$5:$M$34),0)))))))/'07 Support Drivers'!$G$9,0))</f>
        <v>0</v>
      </c>
      <c r="J17" s="55">
        <f>IF('07 Support Drivers'!$D$10="Two-stage finance",SUMIF('05 Support &amp; Income'!$A$5:$A$41,J$4,'05 Support &amp; Income'!$F$5:$F$41)*IF(SUMIF('08 Allocation Data'!$A$5:$A$34,$A17,'08 Allocation Data'!$L$5:$L$34)&gt;0,SUMIF('08 Allocation Data'!$A$5:$A$34,$A17,'08 Allocation Data'!$L$5:$L$34),IFERROR((1-SUM('08 Allocation Data'!$L$5:$L$34))*C17/SUMIFS($C$5:$C$34,'08 Allocation Data'!$L$5:$L$34,0),0)),IFERROR(SUMIF('05 Support &amp; Income'!$A$5:$A$41,J$4,'05 Support &amp; Income'!$F$5:$F$41)*IF('07 Support Drivers'!$D$10="Headcount",SUMIF('08 Allocation Data'!$A$5:$A$34,$A17,'08 Allocation Data'!$D$5:$D$34),IF('07 Support Drivers'!$D$10="FTE",SUMIF('08 Allocation Data'!$A$5:$A$34,$A17,'08 Allocation Data'!$E$5:$E$34),IF('07 Support Drivers'!$D$10="Floor space",SUMIF('08 Allocation Data'!$A$5:$A$34,$A17,'08 Allocation Data'!$F$5:$F$34),IF('07 Support Drivers'!$D$10="Weighted floor space",SUMIF('08 Allocation Data'!$A$5:$A$34,$A17,'08 Allocation Data'!$I$5:$I$34),IF('07 Support Drivers'!$D$10="Cleaning hours",SUMIF('08 Allocation Data'!$A$5:$A$34,$A17,'08 Allocation Data'!$J$5:$J$34),IF('07 Support Drivers'!$D$10="Meals",SUMIF('08 Allocation Data'!$A$5:$A$34,$A17,'08 Allocation Data'!$K$5:$K$34),IF('07 Support Drivers'!$D$10="Direct costs",SUMIF('08 Allocation Data'!$A$5:$A$34,$A17,'08 Allocation Data'!$M$5:$M$34),0)))))))/'07 Support Drivers'!$G$10,0))</f>
        <v>0</v>
      </c>
      <c r="K17" s="55">
        <f>IF('07 Support Drivers'!$D$11="Two-stage finance",SUMIF('05 Support &amp; Income'!$A$5:$A$41,K$4,'05 Support &amp; Income'!$F$5:$F$41)*IF(SUMIF('08 Allocation Data'!$A$5:$A$34,$A17,'08 Allocation Data'!$L$5:$L$34)&gt;0,SUMIF('08 Allocation Data'!$A$5:$A$34,$A17,'08 Allocation Data'!$L$5:$L$34),IFERROR((1-SUM('08 Allocation Data'!$L$5:$L$34))*C17/SUMIFS($C$5:$C$34,'08 Allocation Data'!$L$5:$L$34,0),0)),IFERROR(SUMIF('05 Support &amp; Income'!$A$5:$A$41,K$4,'05 Support &amp; Income'!$F$5:$F$41)*IF('07 Support Drivers'!$D$11="Headcount",SUMIF('08 Allocation Data'!$A$5:$A$34,$A17,'08 Allocation Data'!$D$5:$D$34),IF('07 Support Drivers'!$D$11="FTE",SUMIF('08 Allocation Data'!$A$5:$A$34,$A17,'08 Allocation Data'!$E$5:$E$34),IF('07 Support Drivers'!$D$11="Floor space",SUMIF('08 Allocation Data'!$A$5:$A$34,$A17,'08 Allocation Data'!$F$5:$F$34),IF('07 Support Drivers'!$D$11="Weighted floor space",SUMIF('08 Allocation Data'!$A$5:$A$34,$A17,'08 Allocation Data'!$I$5:$I$34),IF('07 Support Drivers'!$D$11="Cleaning hours",SUMIF('08 Allocation Data'!$A$5:$A$34,$A17,'08 Allocation Data'!$J$5:$J$34),IF('07 Support Drivers'!$D$11="Meals",SUMIF('08 Allocation Data'!$A$5:$A$34,$A17,'08 Allocation Data'!$K$5:$K$34),IF('07 Support Drivers'!$D$11="Direct costs",SUMIF('08 Allocation Data'!$A$5:$A$34,$A17,'08 Allocation Data'!$M$5:$M$34),0)))))))/'07 Support Drivers'!$G$11,0))</f>
        <v>0</v>
      </c>
      <c r="L17" s="55">
        <f>IF('07 Support Drivers'!$D$12="Two-stage finance",SUMIF('05 Support &amp; Income'!$A$5:$A$41,L$4,'05 Support &amp; Income'!$F$5:$F$41)*IF(SUMIF('08 Allocation Data'!$A$5:$A$34,$A17,'08 Allocation Data'!$L$5:$L$34)&gt;0,SUMIF('08 Allocation Data'!$A$5:$A$34,$A17,'08 Allocation Data'!$L$5:$L$34),IFERROR((1-SUM('08 Allocation Data'!$L$5:$L$34))*C17/SUMIFS($C$5:$C$34,'08 Allocation Data'!$L$5:$L$34,0),0)),IFERROR(SUMIF('05 Support &amp; Income'!$A$5:$A$41,L$4,'05 Support &amp; Income'!$F$5:$F$41)*IF('07 Support Drivers'!$D$12="Headcount",SUMIF('08 Allocation Data'!$A$5:$A$34,$A17,'08 Allocation Data'!$D$5:$D$34),IF('07 Support Drivers'!$D$12="FTE",SUMIF('08 Allocation Data'!$A$5:$A$34,$A17,'08 Allocation Data'!$E$5:$E$34),IF('07 Support Drivers'!$D$12="Floor space",SUMIF('08 Allocation Data'!$A$5:$A$34,$A17,'08 Allocation Data'!$F$5:$F$34),IF('07 Support Drivers'!$D$12="Weighted floor space",SUMIF('08 Allocation Data'!$A$5:$A$34,$A17,'08 Allocation Data'!$I$5:$I$34),IF('07 Support Drivers'!$D$12="Cleaning hours",SUMIF('08 Allocation Data'!$A$5:$A$34,$A17,'08 Allocation Data'!$J$5:$J$34),IF('07 Support Drivers'!$D$12="Meals",SUMIF('08 Allocation Data'!$A$5:$A$34,$A17,'08 Allocation Data'!$K$5:$K$34),IF('07 Support Drivers'!$D$12="Direct costs",SUMIF('08 Allocation Data'!$A$5:$A$34,$A17,'08 Allocation Data'!$M$5:$M$34),0)))))))/'07 Support Drivers'!$G$12,0))</f>
        <v>0</v>
      </c>
      <c r="M17" s="55">
        <f>IF('07 Support Drivers'!$D$13="Two-stage finance",SUMIF('05 Support &amp; Income'!$A$5:$A$41,M$4,'05 Support &amp; Income'!$F$5:$F$41)*IF(SUMIF('08 Allocation Data'!$A$5:$A$34,$A17,'08 Allocation Data'!$L$5:$L$34)&gt;0,SUMIF('08 Allocation Data'!$A$5:$A$34,$A17,'08 Allocation Data'!$L$5:$L$34),IFERROR((1-SUM('08 Allocation Data'!$L$5:$L$34))*C17/SUMIFS($C$5:$C$34,'08 Allocation Data'!$L$5:$L$34,0),0)),IFERROR(SUMIF('05 Support &amp; Income'!$A$5:$A$41,M$4,'05 Support &amp; Income'!$F$5:$F$41)*IF('07 Support Drivers'!$D$13="Headcount",SUMIF('08 Allocation Data'!$A$5:$A$34,$A17,'08 Allocation Data'!$D$5:$D$34),IF('07 Support Drivers'!$D$13="FTE",SUMIF('08 Allocation Data'!$A$5:$A$34,$A17,'08 Allocation Data'!$E$5:$E$34),IF('07 Support Drivers'!$D$13="Floor space",SUMIF('08 Allocation Data'!$A$5:$A$34,$A17,'08 Allocation Data'!$F$5:$F$34),IF('07 Support Drivers'!$D$13="Weighted floor space",SUMIF('08 Allocation Data'!$A$5:$A$34,$A17,'08 Allocation Data'!$I$5:$I$34),IF('07 Support Drivers'!$D$13="Cleaning hours",SUMIF('08 Allocation Data'!$A$5:$A$34,$A17,'08 Allocation Data'!$J$5:$J$34),IF('07 Support Drivers'!$D$13="Meals",SUMIF('08 Allocation Data'!$A$5:$A$34,$A17,'08 Allocation Data'!$K$5:$K$34),IF('07 Support Drivers'!$D$13="Direct costs",SUMIF('08 Allocation Data'!$A$5:$A$34,$A17,'08 Allocation Data'!$M$5:$M$34),0)))))))/'07 Support Drivers'!$G$13,0))</f>
        <v>0</v>
      </c>
      <c r="N17" s="55">
        <f>IF('07 Support Drivers'!$D$14="Two-stage finance",SUMIF('05 Support &amp; Income'!$A$5:$A$41,N$4,'05 Support &amp; Income'!$F$5:$F$41)*IF(SUMIF('08 Allocation Data'!$A$5:$A$34,$A17,'08 Allocation Data'!$L$5:$L$34)&gt;0,SUMIF('08 Allocation Data'!$A$5:$A$34,$A17,'08 Allocation Data'!$L$5:$L$34),IFERROR((1-SUM('08 Allocation Data'!$L$5:$L$34))*C17/SUMIFS($C$5:$C$34,'08 Allocation Data'!$L$5:$L$34,0),0)),IFERROR(SUMIF('05 Support &amp; Income'!$A$5:$A$41,N$4,'05 Support &amp; Income'!$F$5:$F$41)*IF('07 Support Drivers'!$D$14="Headcount",SUMIF('08 Allocation Data'!$A$5:$A$34,$A17,'08 Allocation Data'!$D$5:$D$34),IF('07 Support Drivers'!$D$14="FTE",SUMIF('08 Allocation Data'!$A$5:$A$34,$A17,'08 Allocation Data'!$E$5:$E$34),IF('07 Support Drivers'!$D$14="Floor space",SUMIF('08 Allocation Data'!$A$5:$A$34,$A17,'08 Allocation Data'!$F$5:$F$34),IF('07 Support Drivers'!$D$14="Weighted floor space",SUMIF('08 Allocation Data'!$A$5:$A$34,$A17,'08 Allocation Data'!$I$5:$I$34),IF('07 Support Drivers'!$D$14="Cleaning hours",SUMIF('08 Allocation Data'!$A$5:$A$34,$A17,'08 Allocation Data'!$J$5:$J$34),IF('07 Support Drivers'!$D$14="Meals",SUMIF('08 Allocation Data'!$A$5:$A$34,$A17,'08 Allocation Data'!$K$5:$K$34),IF('07 Support Drivers'!$D$14="Direct costs",SUMIF('08 Allocation Data'!$A$5:$A$34,$A17,'08 Allocation Data'!$M$5:$M$34),0)))))))/'07 Support Drivers'!$G$14,0))</f>
        <v>0</v>
      </c>
      <c r="O17" s="55">
        <f>IF('07 Support Drivers'!$D$15="Two-stage finance",SUMIF('05 Support &amp; Income'!$A$5:$A$41,O$4,'05 Support &amp; Income'!$F$5:$F$41)*IF(SUMIF('08 Allocation Data'!$A$5:$A$34,$A17,'08 Allocation Data'!$L$5:$L$34)&gt;0,SUMIF('08 Allocation Data'!$A$5:$A$34,$A17,'08 Allocation Data'!$L$5:$L$34),IFERROR((1-SUM('08 Allocation Data'!$L$5:$L$34))*C17/SUMIFS($C$5:$C$34,'08 Allocation Data'!$L$5:$L$34,0),0)),IFERROR(SUMIF('05 Support &amp; Income'!$A$5:$A$41,O$4,'05 Support &amp; Income'!$F$5:$F$41)*IF('07 Support Drivers'!$D$15="Headcount",SUMIF('08 Allocation Data'!$A$5:$A$34,$A17,'08 Allocation Data'!$D$5:$D$34),IF('07 Support Drivers'!$D$15="FTE",SUMIF('08 Allocation Data'!$A$5:$A$34,$A17,'08 Allocation Data'!$E$5:$E$34),IF('07 Support Drivers'!$D$15="Floor space",SUMIF('08 Allocation Data'!$A$5:$A$34,$A17,'08 Allocation Data'!$F$5:$F$34),IF('07 Support Drivers'!$D$15="Weighted floor space",SUMIF('08 Allocation Data'!$A$5:$A$34,$A17,'08 Allocation Data'!$I$5:$I$34),IF('07 Support Drivers'!$D$15="Cleaning hours",SUMIF('08 Allocation Data'!$A$5:$A$34,$A17,'08 Allocation Data'!$J$5:$J$34),IF('07 Support Drivers'!$D$15="Meals",SUMIF('08 Allocation Data'!$A$5:$A$34,$A17,'08 Allocation Data'!$K$5:$K$34),IF('07 Support Drivers'!$D$15="Direct costs",SUMIF('08 Allocation Data'!$A$5:$A$34,$A17,'08 Allocation Data'!$M$5:$M$34),0)))))))/'07 Support Drivers'!$G$15,0))</f>
        <v>0</v>
      </c>
      <c r="P17" s="55">
        <f>IF('07 Support Drivers'!$D$16="Two-stage finance",SUMIF('05 Support &amp; Income'!$A$5:$A$41,P$4,'05 Support &amp; Income'!$F$5:$F$41)*IF(SUMIF('08 Allocation Data'!$A$5:$A$34,$A17,'08 Allocation Data'!$L$5:$L$34)&gt;0,SUMIF('08 Allocation Data'!$A$5:$A$34,$A17,'08 Allocation Data'!$L$5:$L$34),IFERROR((1-SUM('08 Allocation Data'!$L$5:$L$34))*C17/SUMIFS($C$5:$C$34,'08 Allocation Data'!$L$5:$L$34,0),0)),IFERROR(SUMIF('05 Support &amp; Income'!$A$5:$A$41,P$4,'05 Support &amp; Income'!$F$5:$F$41)*IF('07 Support Drivers'!$D$16="Headcount",SUMIF('08 Allocation Data'!$A$5:$A$34,$A17,'08 Allocation Data'!$D$5:$D$34),IF('07 Support Drivers'!$D$16="FTE",SUMIF('08 Allocation Data'!$A$5:$A$34,$A17,'08 Allocation Data'!$E$5:$E$34),IF('07 Support Drivers'!$D$16="Floor space",SUMIF('08 Allocation Data'!$A$5:$A$34,$A17,'08 Allocation Data'!$F$5:$F$34),IF('07 Support Drivers'!$D$16="Weighted floor space",SUMIF('08 Allocation Data'!$A$5:$A$34,$A17,'08 Allocation Data'!$I$5:$I$34),IF('07 Support Drivers'!$D$16="Cleaning hours",SUMIF('08 Allocation Data'!$A$5:$A$34,$A17,'08 Allocation Data'!$J$5:$J$34),IF('07 Support Drivers'!$D$16="Meals",SUMIF('08 Allocation Data'!$A$5:$A$34,$A17,'08 Allocation Data'!$K$5:$K$34),IF('07 Support Drivers'!$D$16="Direct costs",SUMIF('08 Allocation Data'!$A$5:$A$34,$A17,'08 Allocation Data'!$M$5:$M$34),0)))))))/'07 Support Drivers'!$G$16,0))</f>
        <v>0</v>
      </c>
      <c r="Q17" s="55">
        <f>IF('07 Support Drivers'!$D$17="Two-stage finance",SUMIF('05 Support &amp; Income'!$A$5:$A$41,Q$4,'05 Support &amp; Income'!$F$5:$F$41)*IF(SUMIF('08 Allocation Data'!$A$5:$A$34,$A17,'08 Allocation Data'!$L$5:$L$34)&gt;0,SUMIF('08 Allocation Data'!$A$5:$A$34,$A17,'08 Allocation Data'!$L$5:$L$34),IFERROR((1-SUM('08 Allocation Data'!$L$5:$L$34))*C17/SUMIFS($C$5:$C$34,'08 Allocation Data'!$L$5:$L$34,0),0)),IFERROR(SUMIF('05 Support &amp; Income'!$A$5:$A$41,Q$4,'05 Support &amp; Income'!$F$5:$F$41)*IF('07 Support Drivers'!$D$17="Headcount",SUMIF('08 Allocation Data'!$A$5:$A$34,$A17,'08 Allocation Data'!$D$5:$D$34),IF('07 Support Drivers'!$D$17="FTE",SUMIF('08 Allocation Data'!$A$5:$A$34,$A17,'08 Allocation Data'!$E$5:$E$34),IF('07 Support Drivers'!$D$17="Floor space",SUMIF('08 Allocation Data'!$A$5:$A$34,$A17,'08 Allocation Data'!$F$5:$F$34),IF('07 Support Drivers'!$D$17="Weighted floor space",SUMIF('08 Allocation Data'!$A$5:$A$34,$A17,'08 Allocation Data'!$I$5:$I$34),IF('07 Support Drivers'!$D$17="Cleaning hours",SUMIF('08 Allocation Data'!$A$5:$A$34,$A17,'08 Allocation Data'!$J$5:$J$34),IF('07 Support Drivers'!$D$17="Meals",SUMIF('08 Allocation Data'!$A$5:$A$34,$A17,'08 Allocation Data'!$K$5:$K$34),IF('07 Support Drivers'!$D$17="Direct costs",SUMIF('08 Allocation Data'!$A$5:$A$34,$A17,'08 Allocation Data'!$M$5:$M$34),0)))))))/'07 Support Drivers'!$G$17,0))</f>
        <v>0</v>
      </c>
      <c r="R17" s="48">
        <f t="shared" si="0"/>
        <v>0</v>
      </c>
      <c r="S17" s="48">
        <f>SUMIF('04 Service Costs'!$A$5:$A$31,A17,'04 Service Costs'!$M$5:$M$31)+SUMIF('06 Shared Cost Pools'!$D$21:$D$260,A17,'06 Shared Cost Pools'!$I$21:$I$260)</f>
        <v>0</v>
      </c>
      <c r="T17" s="48">
        <f>SUMIF('04 Service Costs'!$A$5:$A$31,A17,'04 Service Costs'!$N$5:$N$31)+SUMIF('06 Shared Cost Pools'!$D$21:$D$260,A17,'06 Shared Cost Pools'!$J$21:$J$260)</f>
        <v>0</v>
      </c>
      <c r="U17" s="48">
        <f>SUMIF('04 Service Costs'!$A$5:$A$31,A17,'04 Service Costs'!$O$5:$O$31)+SUMIF('06 Shared Cost Pools'!$D$21:$D$260,A17,'06 Shared Cost Pools'!$K$21:$K$260)</f>
        <v>0</v>
      </c>
      <c r="V17" s="48">
        <f t="shared" si="1"/>
        <v>0</v>
      </c>
    </row>
    <row r="18" spans="1:22">
      <c r="A18" s="3" t="s">
        <v>143</v>
      </c>
      <c r="B18" s="3" t="s">
        <v>144</v>
      </c>
      <c r="C18" s="55">
        <f>SUMIF('04 Service Costs'!$A$5:$A$31,A18,'04 Service Costs'!$L$5:$L$31)+SUMIF('05 Support &amp; Income'!$A$5:$A$41,A18,'05 Support &amp; Income'!$F$5:$F$41)</f>
        <v>0</v>
      </c>
      <c r="D18" s="55">
        <f>SUMIF('06 Shared Cost Pools'!$D$21:$D$260,A18,'06 Shared Cost Pools'!$F$21:$F$260)</f>
        <v>0</v>
      </c>
      <c r="E18" s="55">
        <f>IF('07 Support Drivers'!$D$5="Two-stage finance",SUMIF('05 Support &amp; Income'!$A$5:$A$41,E$4,'05 Support &amp; Income'!$F$5:$F$41)*IF(SUMIF('08 Allocation Data'!$A$5:$A$34,$A18,'08 Allocation Data'!$L$5:$L$34)&gt;0,SUMIF('08 Allocation Data'!$A$5:$A$34,$A18,'08 Allocation Data'!$L$5:$L$34),IFERROR((1-SUM('08 Allocation Data'!$L$5:$L$34))*C18/SUMIFS($C$5:$C$34,'08 Allocation Data'!$L$5:$L$34,0),0)),IFERROR(SUMIF('05 Support &amp; Income'!$A$5:$A$41,E$4,'05 Support &amp; Income'!$F$5:$F$41)*IF('07 Support Drivers'!$D$5="Headcount",SUMIF('08 Allocation Data'!$A$5:$A$34,$A18,'08 Allocation Data'!$D$5:$D$34),IF('07 Support Drivers'!$D$5="FTE",SUMIF('08 Allocation Data'!$A$5:$A$34,$A18,'08 Allocation Data'!$E$5:$E$34),IF('07 Support Drivers'!$D$5="Floor space",SUMIF('08 Allocation Data'!$A$5:$A$34,$A18,'08 Allocation Data'!$F$5:$F$34),IF('07 Support Drivers'!$D$5="Weighted floor space",SUMIF('08 Allocation Data'!$A$5:$A$34,$A18,'08 Allocation Data'!$I$5:$I$34),IF('07 Support Drivers'!$D$5="Cleaning hours",SUMIF('08 Allocation Data'!$A$5:$A$34,$A18,'08 Allocation Data'!$J$5:$J$34),IF('07 Support Drivers'!$D$5="Meals",SUMIF('08 Allocation Data'!$A$5:$A$34,$A18,'08 Allocation Data'!$K$5:$K$34),IF('07 Support Drivers'!$D$5="Direct costs",SUMIF('08 Allocation Data'!$A$5:$A$34,$A18,'08 Allocation Data'!$M$5:$M$34),0)))))))/'07 Support Drivers'!$G$5,0))</f>
        <v>0</v>
      </c>
      <c r="F18" s="55">
        <f>IF('07 Support Drivers'!$D$6="Two-stage finance",SUMIF('05 Support &amp; Income'!$A$5:$A$41,F$4,'05 Support &amp; Income'!$F$5:$F$41)*IF(SUMIF('08 Allocation Data'!$A$5:$A$34,$A18,'08 Allocation Data'!$L$5:$L$34)&gt;0,SUMIF('08 Allocation Data'!$A$5:$A$34,$A18,'08 Allocation Data'!$L$5:$L$34),IFERROR((1-SUM('08 Allocation Data'!$L$5:$L$34))*C18/SUMIFS($C$5:$C$34,'08 Allocation Data'!$L$5:$L$34,0),0)),IFERROR(SUMIF('05 Support &amp; Income'!$A$5:$A$41,F$4,'05 Support &amp; Income'!$F$5:$F$41)*IF('07 Support Drivers'!$D$6="Headcount",SUMIF('08 Allocation Data'!$A$5:$A$34,$A18,'08 Allocation Data'!$D$5:$D$34),IF('07 Support Drivers'!$D$6="FTE",SUMIF('08 Allocation Data'!$A$5:$A$34,$A18,'08 Allocation Data'!$E$5:$E$34),IF('07 Support Drivers'!$D$6="Floor space",SUMIF('08 Allocation Data'!$A$5:$A$34,$A18,'08 Allocation Data'!$F$5:$F$34),IF('07 Support Drivers'!$D$6="Weighted floor space",SUMIF('08 Allocation Data'!$A$5:$A$34,$A18,'08 Allocation Data'!$I$5:$I$34),IF('07 Support Drivers'!$D$6="Cleaning hours",SUMIF('08 Allocation Data'!$A$5:$A$34,$A18,'08 Allocation Data'!$J$5:$J$34),IF('07 Support Drivers'!$D$6="Meals",SUMIF('08 Allocation Data'!$A$5:$A$34,$A18,'08 Allocation Data'!$K$5:$K$34),IF('07 Support Drivers'!$D$6="Direct costs",SUMIF('08 Allocation Data'!$A$5:$A$34,$A18,'08 Allocation Data'!$M$5:$M$34),0)))))))/'07 Support Drivers'!$G$6,0))</f>
        <v>0</v>
      </c>
      <c r="G18" s="55">
        <f>IF('07 Support Drivers'!$D$7="Two-stage finance",SUMIF('05 Support &amp; Income'!$A$5:$A$41,G$4,'05 Support &amp; Income'!$F$5:$F$41)*IF(SUMIF('08 Allocation Data'!$A$5:$A$34,$A18,'08 Allocation Data'!$L$5:$L$34)&gt;0,SUMIF('08 Allocation Data'!$A$5:$A$34,$A18,'08 Allocation Data'!$L$5:$L$34),IFERROR((1-SUM('08 Allocation Data'!$L$5:$L$34))*C18/SUMIFS($C$5:$C$34,'08 Allocation Data'!$L$5:$L$34,0),0)),IFERROR(SUMIF('05 Support &amp; Income'!$A$5:$A$41,G$4,'05 Support &amp; Income'!$F$5:$F$41)*IF('07 Support Drivers'!$D$7="Headcount",SUMIF('08 Allocation Data'!$A$5:$A$34,$A18,'08 Allocation Data'!$D$5:$D$34),IF('07 Support Drivers'!$D$7="FTE",SUMIF('08 Allocation Data'!$A$5:$A$34,$A18,'08 Allocation Data'!$E$5:$E$34),IF('07 Support Drivers'!$D$7="Floor space",SUMIF('08 Allocation Data'!$A$5:$A$34,$A18,'08 Allocation Data'!$F$5:$F$34),IF('07 Support Drivers'!$D$7="Weighted floor space",SUMIF('08 Allocation Data'!$A$5:$A$34,$A18,'08 Allocation Data'!$I$5:$I$34),IF('07 Support Drivers'!$D$7="Cleaning hours",SUMIF('08 Allocation Data'!$A$5:$A$34,$A18,'08 Allocation Data'!$J$5:$J$34),IF('07 Support Drivers'!$D$7="Meals",SUMIF('08 Allocation Data'!$A$5:$A$34,$A18,'08 Allocation Data'!$K$5:$K$34),IF('07 Support Drivers'!$D$7="Direct costs",SUMIF('08 Allocation Data'!$A$5:$A$34,$A18,'08 Allocation Data'!$M$5:$M$34),0)))))))/'07 Support Drivers'!$G$7,0))</f>
        <v>0</v>
      </c>
      <c r="H18" s="55">
        <f>IF('07 Support Drivers'!$D$8="Two-stage finance",SUMIF('05 Support &amp; Income'!$A$5:$A$41,H$4,'05 Support &amp; Income'!$F$5:$F$41)*IF(SUMIF('08 Allocation Data'!$A$5:$A$34,$A18,'08 Allocation Data'!$L$5:$L$34)&gt;0,SUMIF('08 Allocation Data'!$A$5:$A$34,$A18,'08 Allocation Data'!$L$5:$L$34),IFERROR((1-SUM('08 Allocation Data'!$L$5:$L$34))*C18/SUMIFS($C$5:$C$34,'08 Allocation Data'!$L$5:$L$34,0),0)),IFERROR(SUMIF('05 Support &amp; Income'!$A$5:$A$41,H$4,'05 Support &amp; Income'!$F$5:$F$41)*IF('07 Support Drivers'!$D$8="Headcount",SUMIF('08 Allocation Data'!$A$5:$A$34,$A18,'08 Allocation Data'!$D$5:$D$34),IF('07 Support Drivers'!$D$8="FTE",SUMIF('08 Allocation Data'!$A$5:$A$34,$A18,'08 Allocation Data'!$E$5:$E$34),IF('07 Support Drivers'!$D$8="Floor space",SUMIF('08 Allocation Data'!$A$5:$A$34,$A18,'08 Allocation Data'!$F$5:$F$34),IF('07 Support Drivers'!$D$8="Weighted floor space",SUMIF('08 Allocation Data'!$A$5:$A$34,$A18,'08 Allocation Data'!$I$5:$I$34),IF('07 Support Drivers'!$D$8="Cleaning hours",SUMIF('08 Allocation Data'!$A$5:$A$34,$A18,'08 Allocation Data'!$J$5:$J$34),IF('07 Support Drivers'!$D$8="Meals",SUMIF('08 Allocation Data'!$A$5:$A$34,$A18,'08 Allocation Data'!$K$5:$K$34),IF('07 Support Drivers'!$D$8="Direct costs",SUMIF('08 Allocation Data'!$A$5:$A$34,$A18,'08 Allocation Data'!$M$5:$M$34),0)))))))/'07 Support Drivers'!$G$8,0))</f>
        <v>0</v>
      </c>
      <c r="I18" s="55">
        <f>IF('07 Support Drivers'!$D$9="Two-stage finance",SUMIF('05 Support &amp; Income'!$A$5:$A$41,I$4,'05 Support &amp; Income'!$F$5:$F$41)*IF(SUMIF('08 Allocation Data'!$A$5:$A$34,$A18,'08 Allocation Data'!$L$5:$L$34)&gt;0,SUMIF('08 Allocation Data'!$A$5:$A$34,$A18,'08 Allocation Data'!$L$5:$L$34),IFERROR((1-SUM('08 Allocation Data'!$L$5:$L$34))*C18/SUMIFS($C$5:$C$34,'08 Allocation Data'!$L$5:$L$34,0),0)),IFERROR(SUMIF('05 Support &amp; Income'!$A$5:$A$41,I$4,'05 Support &amp; Income'!$F$5:$F$41)*IF('07 Support Drivers'!$D$9="Headcount",SUMIF('08 Allocation Data'!$A$5:$A$34,$A18,'08 Allocation Data'!$D$5:$D$34),IF('07 Support Drivers'!$D$9="FTE",SUMIF('08 Allocation Data'!$A$5:$A$34,$A18,'08 Allocation Data'!$E$5:$E$34),IF('07 Support Drivers'!$D$9="Floor space",SUMIF('08 Allocation Data'!$A$5:$A$34,$A18,'08 Allocation Data'!$F$5:$F$34),IF('07 Support Drivers'!$D$9="Weighted floor space",SUMIF('08 Allocation Data'!$A$5:$A$34,$A18,'08 Allocation Data'!$I$5:$I$34),IF('07 Support Drivers'!$D$9="Cleaning hours",SUMIF('08 Allocation Data'!$A$5:$A$34,$A18,'08 Allocation Data'!$J$5:$J$34),IF('07 Support Drivers'!$D$9="Meals",SUMIF('08 Allocation Data'!$A$5:$A$34,$A18,'08 Allocation Data'!$K$5:$K$34),IF('07 Support Drivers'!$D$9="Direct costs",SUMIF('08 Allocation Data'!$A$5:$A$34,$A18,'08 Allocation Data'!$M$5:$M$34),0)))))))/'07 Support Drivers'!$G$9,0))</f>
        <v>0</v>
      </c>
      <c r="J18" s="55">
        <f>IF('07 Support Drivers'!$D$10="Two-stage finance",SUMIF('05 Support &amp; Income'!$A$5:$A$41,J$4,'05 Support &amp; Income'!$F$5:$F$41)*IF(SUMIF('08 Allocation Data'!$A$5:$A$34,$A18,'08 Allocation Data'!$L$5:$L$34)&gt;0,SUMIF('08 Allocation Data'!$A$5:$A$34,$A18,'08 Allocation Data'!$L$5:$L$34),IFERROR((1-SUM('08 Allocation Data'!$L$5:$L$34))*C18/SUMIFS($C$5:$C$34,'08 Allocation Data'!$L$5:$L$34,0),0)),IFERROR(SUMIF('05 Support &amp; Income'!$A$5:$A$41,J$4,'05 Support &amp; Income'!$F$5:$F$41)*IF('07 Support Drivers'!$D$10="Headcount",SUMIF('08 Allocation Data'!$A$5:$A$34,$A18,'08 Allocation Data'!$D$5:$D$34),IF('07 Support Drivers'!$D$10="FTE",SUMIF('08 Allocation Data'!$A$5:$A$34,$A18,'08 Allocation Data'!$E$5:$E$34),IF('07 Support Drivers'!$D$10="Floor space",SUMIF('08 Allocation Data'!$A$5:$A$34,$A18,'08 Allocation Data'!$F$5:$F$34),IF('07 Support Drivers'!$D$10="Weighted floor space",SUMIF('08 Allocation Data'!$A$5:$A$34,$A18,'08 Allocation Data'!$I$5:$I$34),IF('07 Support Drivers'!$D$10="Cleaning hours",SUMIF('08 Allocation Data'!$A$5:$A$34,$A18,'08 Allocation Data'!$J$5:$J$34),IF('07 Support Drivers'!$D$10="Meals",SUMIF('08 Allocation Data'!$A$5:$A$34,$A18,'08 Allocation Data'!$K$5:$K$34),IF('07 Support Drivers'!$D$10="Direct costs",SUMIF('08 Allocation Data'!$A$5:$A$34,$A18,'08 Allocation Data'!$M$5:$M$34),0)))))))/'07 Support Drivers'!$G$10,0))</f>
        <v>0</v>
      </c>
      <c r="K18" s="55">
        <f>IF('07 Support Drivers'!$D$11="Two-stage finance",SUMIF('05 Support &amp; Income'!$A$5:$A$41,K$4,'05 Support &amp; Income'!$F$5:$F$41)*IF(SUMIF('08 Allocation Data'!$A$5:$A$34,$A18,'08 Allocation Data'!$L$5:$L$34)&gt;0,SUMIF('08 Allocation Data'!$A$5:$A$34,$A18,'08 Allocation Data'!$L$5:$L$34),IFERROR((1-SUM('08 Allocation Data'!$L$5:$L$34))*C18/SUMIFS($C$5:$C$34,'08 Allocation Data'!$L$5:$L$34,0),0)),IFERROR(SUMIF('05 Support &amp; Income'!$A$5:$A$41,K$4,'05 Support &amp; Income'!$F$5:$F$41)*IF('07 Support Drivers'!$D$11="Headcount",SUMIF('08 Allocation Data'!$A$5:$A$34,$A18,'08 Allocation Data'!$D$5:$D$34),IF('07 Support Drivers'!$D$11="FTE",SUMIF('08 Allocation Data'!$A$5:$A$34,$A18,'08 Allocation Data'!$E$5:$E$34),IF('07 Support Drivers'!$D$11="Floor space",SUMIF('08 Allocation Data'!$A$5:$A$34,$A18,'08 Allocation Data'!$F$5:$F$34),IF('07 Support Drivers'!$D$11="Weighted floor space",SUMIF('08 Allocation Data'!$A$5:$A$34,$A18,'08 Allocation Data'!$I$5:$I$34),IF('07 Support Drivers'!$D$11="Cleaning hours",SUMIF('08 Allocation Data'!$A$5:$A$34,$A18,'08 Allocation Data'!$J$5:$J$34),IF('07 Support Drivers'!$D$11="Meals",SUMIF('08 Allocation Data'!$A$5:$A$34,$A18,'08 Allocation Data'!$K$5:$K$34),IF('07 Support Drivers'!$D$11="Direct costs",SUMIF('08 Allocation Data'!$A$5:$A$34,$A18,'08 Allocation Data'!$M$5:$M$34),0)))))))/'07 Support Drivers'!$G$11,0))</f>
        <v>0</v>
      </c>
      <c r="L18" s="55">
        <f>IF('07 Support Drivers'!$D$12="Two-stage finance",SUMIF('05 Support &amp; Income'!$A$5:$A$41,L$4,'05 Support &amp; Income'!$F$5:$F$41)*IF(SUMIF('08 Allocation Data'!$A$5:$A$34,$A18,'08 Allocation Data'!$L$5:$L$34)&gt;0,SUMIF('08 Allocation Data'!$A$5:$A$34,$A18,'08 Allocation Data'!$L$5:$L$34),IFERROR((1-SUM('08 Allocation Data'!$L$5:$L$34))*C18/SUMIFS($C$5:$C$34,'08 Allocation Data'!$L$5:$L$34,0),0)),IFERROR(SUMIF('05 Support &amp; Income'!$A$5:$A$41,L$4,'05 Support &amp; Income'!$F$5:$F$41)*IF('07 Support Drivers'!$D$12="Headcount",SUMIF('08 Allocation Data'!$A$5:$A$34,$A18,'08 Allocation Data'!$D$5:$D$34),IF('07 Support Drivers'!$D$12="FTE",SUMIF('08 Allocation Data'!$A$5:$A$34,$A18,'08 Allocation Data'!$E$5:$E$34),IF('07 Support Drivers'!$D$12="Floor space",SUMIF('08 Allocation Data'!$A$5:$A$34,$A18,'08 Allocation Data'!$F$5:$F$34),IF('07 Support Drivers'!$D$12="Weighted floor space",SUMIF('08 Allocation Data'!$A$5:$A$34,$A18,'08 Allocation Data'!$I$5:$I$34),IF('07 Support Drivers'!$D$12="Cleaning hours",SUMIF('08 Allocation Data'!$A$5:$A$34,$A18,'08 Allocation Data'!$J$5:$J$34),IF('07 Support Drivers'!$D$12="Meals",SUMIF('08 Allocation Data'!$A$5:$A$34,$A18,'08 Allocation Data'!$K$5:$K$34),IF('07 Support Drivers'!$D$12="Direct costs",SUMIF('08 Allocation Data'!$A$5:$A$34,$A18,'08 Allocation Data'!$M$5:$M$34),0)))))))/'07 Support Drivers'!$G$12,0))</f>
        <v>0</v>
      </c>
      <c r="M18" s="55">
        <f>IF('07 Support Drivers'!$D$13="Two-stage finance",SUMIF('05 Support &amp; Income'!$A$5:$A$41,M$4,'05 Support &amp; Income'!$F$5:$F$41)*IF(SUMIF('08 Allocation Data'!$A$5:$A$34,$A18,'08 Allocation Data'!$L$5:$L$34)&gt;0,SUMIF('08 Allocation Data'!$A$5:$A$34,$A18,'08 Allocation Data'!$L$5:$L$34),IFERROR((1-SUM('08 Allocation Data'!$L$5:$L$34))*C18/SUMIFS($C$5:$C$34,'08 Allocation Data'!$L$5:$L$34,0),0)),IFERROR(SUMIF('05 Support &amp; Income'!$A$5:$A$41,M$4,'05 Support &amp; Income'!$F$5:$F$41)*IF('07 Support Drivers'!$D$13="Headcount",SUMIF('08 Allocation Data'!$A$5:$A$34,$A18,'08 Allocation Data'!$D$5:$D$34),IF('07 Support Drivers'!$D$13="FTE",SUMIF('08 Allocation Data'!$A$5:$A$34,$A18,'08 Allocation Data'!$E$5:$E$34),IF('07 Support Drivers'!$D$13="Floor space",SUMIF('08 Allocation Data'!$A$5:$A$34,$A18,'08 Allocation Data'!$F$5:$F$34),IF('07 Support Drivers'!$D$13="Weighted floor space",SUMIF('08 Allocation Data'!$A$5:$A$34,$A18,'08 Allocation Data'!$I$5:$I$34),IF('07 Support Drivers'!$D$13="Cleaning hours",SUMIF('08 Allocation Data'!$A$5:$A$34,$A18,'08 Allocation Data'!$J$5:$J$34),IF('07 Support Drivers'!$D$13="Meals",SUMIF('08 Allocation Data'!$A$5:$A$34,$A18,'08 Allocation Data'!$K$5:$K$34),IF('07 Support Drivers'!$D$13="Direct costs",SUMIF('08 Allocation Data'!$A$5:$A$34,$A18,'08 Allocation Data'!$M$5:$M$34),0)))))))/'07 Support Drivers'!$G$13,0))</f>
        <v>0</v>
      </c>
      <c r="N18" s="55">
        <f>IF('07 Support Drivers'!$D$14="Two-stage finance",SUMIF('05 Support &amp; Income'!$A$5:$A$41,N$4,'05 Support &amp; Income'!$F$5:$F$41)*IF(SUMIF('08 Allocation Data'!$A$5:$A$34,$A18,'08 Allocation Data'!$L$5:$L$34)&gt;0,SUMIF('08 Allocation Data'!$A$5:$A$34,$A18,'08 Allocation Data'!$L$5:$L$34),IFERROR((1-SUM('08 Allocation Data'!$L$5:$L$34))*C18/SUMIFS($C$5:$C$34,'08 Allocation Data'!$L$5:$L$34,0),0)),IFERROR(SUMIF('05 Support &amp; Income'!$A$5:$A$41,N$4,'05 Support &amp; Income'!$F$5:$F$41)*IF('07 Support Drivers'!$D$14="Headcount",SUMIF('08 Allocation Data'!$A$5:$A$34,$A18,'08 Allocation Data'!$D$5:$D$34),IF('07 Support Drivers'!$D$14="FTE",SUMIF('08 Allocation Data'!$A$5:$A$34,$A18,'08 Allocation Data'!$E$5:$E$34),IF('07 Support Drivers'!$D$14="Floor space",SUMIF('08 Allocation Data'!$A$5:$A$34,$A18,'08 Allocation Data'!$F$5:$F$34),IF('07 Support Drivers'!$D$14="Weighted floor space",SUMIF('08 Allocation Data'!$A$5:$A$34,$A18,'08 Allocation Data'!$I$5:$I$34),IF('07 Support Drivers'!$D$14="Cleaning hours",SUMIF('08 Allocation Data'!$A$5:$A$34,$A18,'08 Allocation Data'!$J$5:$J$34),IF('07 Support Drivers'!$D$14="Meals",SUMIF('08 Allocation Data'!$A$5:$A$34,$A18,'08 Allocation Data'!$K$5:$K$34),IF('07 Support Drivers'!$D$14="Direct costs",SUMIF('08 Allocation Data'!$A$5:$A$34,$A18,'08 Allocation Data'!$M$5:$M$34),0)))))))/'07 Support Drivers'!$G$14,0))</f>
        <v>0</v>
      </c>
      <c r="O18" s="55">
        <f>IF('07 Support Drivers'!$D$15="Two-stage finance",SUMIF('05 Support &amp; Income'!$A$5:$A$41,O$4,'05 Support &amp; Income'!$F$5:$F$41)*IF(SUMIF('08 Allocation Data'!$A$5:$A$34,$A18,'08 Allocation Data'!$L$5:$L$34)&gt;0,SUMIF('08 Allocation Data'!$A$5:$A$34,$A18,'08 Allocation Data'!$L$5:$L$34),IFERROR((1-SUM('08 Allocation Data'!$L$5:$L$34))*C18/SUMIFS($C$5:$C$34,'08 Allocation Data'!$L$5:$L$34,0),0)),IFERROR(SUMIF('05 Support &amp; Income'!$A$5:$A$41,O$4,'05 Support &amp; Income'!$F$5:$F$41)*IF('07 Support Drivers'!$D$15="Headcount",SUMIF('08 Allocation Data'!$A$5:$A$34,$A18,'08 Allocation Data'!$D$5:$D$34),IF('07 Support Drivers'!$D$15="FTE",SUMIF('08 Allocation Data'!$A$5:$A$34,$A18,'08 Allocation Data'!$E$5:$E$34),IF('07 Support Drivers'!$D$15="Floor space",SUMIF('08 Allocation Data'!$A$5:$A$34,$A18,'08 Allocation Data'!$F$5:$F$34),IF('07 Support Drivers'!$D$15="Weighted floor space",SUMIF('08 Allocation Data'!$A$5:$A$34,$A18,'08 Allocation Data'!$I$5:$I$34),IF('07 Support Drivers'!$D$15="Cleaning hours",SUMIF('08 Allocation Data'!$A$5:$A$34,$A18,'08 Allocation Data'!$J$5:$J$34),IF('07 Support Drivers'!$D$15="Meals",SUMIF('08 Allocation Data'!$A$5:$A$34,$A18,'08 Allocation Data'!$K$5:$K$34),IF('07 Support Drivers'!$D$15="Direct costs",SUMIF('08 Allocation Data'!$A$5:$A$34,$A18,'08 Allocation Data'!$M$5:$M$34),0)))))))/'07 Support Drivers'!$G$15,0))</f>
        <v>0</v>
      </c>
      <c r="P18" s="55">
        <f>IF('07 Support Drivers'!$D$16="Two-stage finance",SUMIF('05 Support &amp; Income'!$A$5:$A$41,P$4,'05 Support &amp; Income'!$F$5:$F$41)*IF(SUMIF('08 Allocation Data'!$A$5:$A$34,$A18,'08 Allocation Data'!$L$5:$L$34)&gt;0,SUMIF('08 Allocation Data'!$A$5:$A$34,$A18,'08 Allocation Data'!$L$5:$L$34),IFERROR((1-SUM('08 Allocation Data'!$L$5:$L$34))*C18/SUMIFS($C$5:$C$34,'08 Allocation Data'!$L$5:$L$34,0),0)),IFERROR(SUMIF('05 Support &amp; Income'!$A$5:$A$41,P$4,'05 Support &amp; Income'!$F$5:$F$41)*IF('07 Support Drivers'!$D$16="Headcount",SUMIF('08 Allocation Data'!$A$5:$A$34,$A18,'08 Allocation Data'!$D$5:$D$34),IF('07 Support Drivers'!$D$16="FTE",SUMIF('08 Allocation Data'!$A$5:$A$34,$A18,'08 Allocation Data'!$E$5:$E$34),IF('07 Support Drivers'!$D$16="Floor space",SUMIF('08 Allocation Data'!$A$5:$A$34,$A18,'08 Allocation Data'!$F$5:$F$34),IF('07 Support Drivers'!$D$16="Weighted floor space",SUMIF('08 Allocation Data'!$A$5:$A$34,$A18,'08 Allocation Data'!$I$5:$I$34),IF('07 Support Drivers'!$D$16="Cleaning hours",SUMIF('08 Allocation Data'!$A$5:$A$34,$A18,'08 Allocation Data'!$J$5:$J$34),IF('07 Support Drivers'!$D$16="Meals",SUMIF('08 Allocation Data'!$A$5:$A$34,$A18,'08 Allocation Data'!$K$5:$K$34),IF('07 Support Drivers'!$D$16="Direct costs",SUMIF('08 Allocation Data'!$A$5:$A$34,$A18,'08 Allocation Data'!$M$5:$M$34),0)))))))/'07 Support Drivers'!$G$16,0))</f>
        <v>0</v>
      </c>
      <c r="Q18" s="55">
        <f>IF('07 Support Drivers'!$D$17="Two-stage finance",SUMIF('05 Support &amp; Income'!$A$5:$A$41,Q$4,'05 Support &amp; Income'!$F$5:$F$41)*IF(SUMIF('08 Allocation Data'!$A$5:$A$34,$A18,'08 Allocation Data'!$L$5:$L$34)&gt;0,SUMIF('08 Allocation Data'!$A$5:$A$34,$A18,'08 Allocation Data'!$L$5:$L$34),IFERROR((1-SUM('08 Allocation Data'!$L$5:$L$34))*C18/SUMIFS($C$5:$C$34,'08 Allocation Data'!$L$5:$L$34,0),0)),IFERROR(SUMIF('05 Support &amp; Income'!$A$5:$A$41,Q$4,'05 Support &amp; Income'!$F$5:$F$41)*IF('07 Support Drivers'!$D$17="Headcount",SUMIF('08 Allocation Data'!$A$5:$A$34,$A18,'08 Allocation Data'!$D$5:$D$34),IF('07 Support Drivers'!$D$17="FTE",SUMIF('08 Allocation Data'!$A$5:$A$34,$A18,'08 Allocation Data'!$E$5:$E$34),IF('07 Support Drivers'!$D$17="Floor space",SUMIF('08 Allocation Data'!$A$5:$A$34,$A18,'08 Allocation Data'!$F$5:$F$34),IF('07 Support Drivers'!$D$17="Weighted floor space",SUMIF('08 Allocation Data'!$A$5:$A$34,$A18,'08 Allocation Data'!$I$5:$I$34),IF('07 Support Drivers'!$D$17="Cleaning hours",SUMIF('08 Allocation Data'!$A$5:$A$34,$A18,'08 Allocation Data'!$J$5:$J$34),IF('07 Support Drivers'!$D$17="Meals",SUMIF('08 Allocation Data'!$A$5:$A$34,$A18,'08 Allocation Data'!$K$5:$K$34),IF('07 Support Drivers'!$D$17="Direct costs",SUMIF('08 Allocation Data'!$A$5:$A$34,$A18,'08 Allocation Data'!$M$5:$M$34),0)))))))/'07 Support Drivers'!$G$17,0))</f>
        <v>0</v>
      </c>
      <c r="R18" s="48">
        <f t="shared" si="0"/>
        <v>0</v>
      </c>
      <c r="S18" s="48">
        <f>SUMIF('04 Service Costs'!$A$5:$A$31,A18,'04 Service Costs'!$M$5:$M$31)+SUMIF('06 Shared Cost Pools'!$D$21:$D$260,A18,'06 Shared Cost Pools'!$I$21:$I$260)</f>
        <v>0</v>
      </c>
      <c r="T18" s="48">
        <f>SUMIF('04 Service Costs'!$A$5:$A$31,A18,'04 Service Costs'!$N$5:$N$31)+SUMIF('06 Shared Cost Pools'!$D$21:$D$260,A18,'06 Shared Cost Pools'!$J$21:$J$260)</f>
        <v>0</v>
      </c>
      <c r="U18" s="48">
        <f>SUMIF('04 Service Costs'!$A$5:$A$31,A18,'04 Service Costs'!$O$5:$O$31)+SUMIF('06 Shared Cost Pools'!$D$21:$D$260,A18,'06 Shared Cost Pools'!$K$21:$K$260)</f>
        <v>0</v>
      </c>
      <c r="V18" s="48">
        <f t="shared" si="1"/>
        <v>0</v>
      </c>
    </row>
    <row r="19" spans="1:22">
      <c r="A19" s="3" t="s">
        <v>145</v>
      </c>
      <c r="B19" s="3" t="s">
        <v>148</v>
      </c>
      <c r="C19" s="55">
        <f>SUMIF('04 Service Costs'!$A$5:$A$31,A19,'04 Service Costs'!$L$5:$L$31)+SUMIF('05 Support &amp; Income'!$A$5:$A$41,A19,'05 Support &amp; Income'!$F$5:$F$41)</f>
        <v>0</v>
      </c>
      <c r="D19" s="55">
        <f>SUMIF('06 Shared Cost Pools'!$D$21:$D$260,A19,'06 Shared Cost Pools'!$F$21:$F$260)</f>
        <v>0</v>
      </c>
      <c r="E19" s="55">
        <f>IF('07 Support Drivers'!$D$5="Two-stage finance",SUMIF('05 Support &amp; Income'!$A$5:$A$41,E$4,'05 Support &amp; Income'!$F$5:$F$41)*IF(SUMIF('08 Allocation Data'!$A$5:$A$34,$A19,'08 Allocation Data'!$L$5:$L$34)&gt;0,SUMIF('08 Allocation Data'!$A$5:$A$34,$A19,'08 Allocation Data'!$L$5:$L$34),IFERROR((1-SUM('08 Allocation Data'!$L$5:$L$34))*C19/SUMIFS($C$5:$C$34,'08 Allocation Data'!$L$5:$L$34,0),0)),IFERROR(SUMIF('05 Support &amp; Income'!$A$5:$A$41,E$4,'05 Support &amp; Income'!$F$5:$F$41)*IF('07 Support Drivers'!$D$5="Headcount",SUMIF('08 Allocation Data'!$A$5:$A$34,$A19,'08 Allocation Data'!$D$5:$D$34),IF('07 Support Drivers'!$D$5="FTE",SUMIF('08 Allocation Data'!$A$5:$A$34,$A19,'08 Allocation Data'!$E$5:$E$34),IF('07 Support Drivers'!$D$5="Floor space",SUMIF('08 Allocation Data'!$A$5:$A$34,$A19,'08 Allocation Data'!$F$5:$F$34),IF('07 Support Drivers'!$D$5="Weighted floor space",SUMIF('08 Allocation Data'!$A$5:$A$34,$A19,'08 Allocation Data'!$I$5:$I$34),IF('07 Support Drivers'!$D$5="Cleaning hours",SUMIF('08 Allocation Data'!$A$5:$A$34,$A19,'08 Allocation Data'!$J$5:$J$34),IF('07 Support Drivers'!$D$5="Meals",SUMIF('08 Allocation Data'!$A$5:$A$34,$A19,'08 Allocation Data'!$K$5:$K$34),IF('07 Support Drivers'!$D$5="Direct costs",SUMIF('08 Allocation Data'!$A$5:$A$34,$A19,'08 Allocation Data'!$M$5:$M$34),0)))))))/'07 Support Drivers'!$G$5,0))</f>
        <v>0</v>
      </c>
      <c r="F19" s="55">
        <f>IF('07 Support Drivers'!$D$6="Two-stage finance",SUMIF('05 Support &amp; Income'!$A$5:$A$41,F$4,'05 Support &amp; Income'!$F$5:$F$41)*IF(SUMIF('08 Allocation Data'!$A$5:$A$34,$A19,'08 Allocation Data'!$L$5:$L$34)&gt;0,SUMIF('08 Allocation Data'!$A$5:$A$34,$A19,'08 Allocation Data'!$L$5:$L$34),IFERROR((1-SUM('08 Allocation Data'!$L$5:$L$34))*C19/SUMIFS($C$5:$C$34,'08 Allocation Data'!$L$5:$L$34,0),0)),IFERROR(SUMIF('05 Support &amp; Income'!$A$5:$A$41,F$4,'05 Support &amp; Income'!$F$5:$F$41)*IF('07 Support Drivers'!$D$6="Headcount",SUMIF('08 Allocation Data'!$A$5:$A$34,$A19,'08 Allocation Data'!$D$5:$D$34),IF('07 Support Drivers'!$D$6="FTE",SUMIF('08 Allocation Data'!$A$5:$A$34,$A19,'08 Allocation Data'!$E$5:$E$34),IF('07 Support Drivers'!$D$6="Floor space",SUMIF('08 Allocation Data'!$A$5:$A$34,$A19,'08 Allocation Data'!$F$5:$F$34),IF('07 Support Drivers'!$D$6="Weighted floor space",SUMIF('08 Allocation Data'!$A$5:$A$34,$A19,'08 Allocation Data'!$I$5:$I$34),IF('07 Support Drivers'!$D$6="Cleaning hours",SUMIF('08 Allocation Data'!$A$5:$A$34,$A19,'08 Allocation Data'!$J$5:$J$34),IF('07 Support Drivers'!$D$6="Meals",SUMIF('08 Allocation Data'!$A$5:$A$34,$A19,'08 Allocation Data'!$K$5:$K$34),IF('07 Support Drivers'!$D$6="Direct costs",SUMIF('08 Allocation Data'!$A$5:$A$34,$A19,'08 Allocation Data'!$M$5:$M$34),0)))))))/'07 Support Drivers'!$G$6,0))</f>
        <v>0</v>
      </c>
      <c r="G19" s="55">
        <f>IF('07 Support Drivers'!$D$7="Two-stage finance",SUMIF('05 Support &amp; Income'!$A$5:$A$41,G$4,'05 Support &amp; Income'!$F$5:$F$41)*IF(SUMIF('08 Allocation Data'!$A$5:$A$34,$A19,'08 Allocation Data'!$L$5:$L$34)&gt;0,SUMIF('08 Allocation Data'!$A$5:$A$34,$A19,'08 Allocation Data'!$L$5:$L$34),IFERROR((1-SUM('08 Allocation Data'!$L$5:$L$34))*C19/SUMIFS($C$5:$C$34,'08 Allocation Data'!$L$5:$L$34,0),0)),IFERROR(SUMIF('05 Support &amp; Income'!$A$5:$A$41,G$4,'05 Support &amp; Income'!$F$5:$F$41)*IF('07 Support Drivers'!$D$7="Headcount",SUMIF('08 Allocation Data'!$A$5:$A$34,$A19,'08 Allocation Data'!$D$5:$D$34),IF('07 Support Drivers'!$D$7="FTE",SUMIF('08 Allocation Data'!$A$5:$A$34,$A19,'08 Allocation Data'!$E$5:$E$34),IF('07 Support Drivers'!$D$7="Floor space",SUMIF('08 Allocation Data'!$A$5:$A$34,$A19,'08 Allocation Data'!$F$5:$F$34),IF('07 Support Drivers'!$D$7="Weighted floor space",SUMIF('08 Allocation Data'!$A$5:$A$34,$A19,'08 Allocation Data'!$I$5:$I$34),IF('07 Support Drivers'!$D$7="Cleaning hours",SUMIF('08 Allocation Data'!$A$5:$A$34,$A19,'08 Allocation Data'!$J$5:$J$34),IF('07 Support Drivers'!$D$7="Meals",SUMIF('08 Allocation Data'!$A$5:$A$34,$A19,'08 Allocation Data'!$K$5:$K$34),IF('07 Support Drivers'!$D$7="Direct costs",SUMIF('08 Allocation Data'!$A$5:$A$34,$A19,'08 Allocation Data'!$M$5:$M$34),0)))))))/'07 Support Drivers'!$G$7,0))</f>
        <v>0</v>
      </c>
      <c r="H19" s="55">
        <f>IF('07 Support Drivers'!$D$8="Two-stage finance",SUMIF('05 Support &amp; Income'!$A$5:$A$41,H$4,'05 Support &amp; Income'!$F$5:$F$41)*IF(SUMIF('08 Allocation Data'!$A$5:$A$34,$A19,'08 Allocation Data'!$L$5:$L$34)&gt;0,SUMIF('08 Allocation Data'!$A$5:$A$34,$A19,'08 Allocation Data'!$L$5:$L$34),IFERROR((1-SUM('08 Allocation Data'!$L$5:$L$34))*C19/SUMIFS($C$5:$C$34,'08 Allocation Data'!$L$5:$L$34,0),0)),IFERROR(SUMIF('05 Support &amp; Income'!$A$5:$A$41,H$4,'05 Support &amp; Income'!$F$5:$F$41)*IF('07 Support Drivers'!$D$8="Headcount",SUMIF('08 Allocation Data'!$A$5:$A$34,$A19,'08 Allocation Data'!$D$5:$D$34),IF('07 Support Drivers'!$D$8="FTE",SUMIF('08 Allocation Data'!$A$5:$A$34,$A19,'08 Allocation Data'!$E$5:$E$34),IF('07 Support Drivers'!$D$8="Floor space",SUMIF('08 Allocation Data'!$A$5:$A$34,$A19,'08 Allocation Data'!$F$5:$F$34),IF('07 Support Drivers'!$D$8="Weighted floor space",SUMIF('08 Allocation Data'!$A$5:$A$34,$A19,'08 Allocation Data'!$I$5:$I$34),IF('07 Support Drivers'!$D$8="Cleaning hours",SUMIF('08 Allocation Data'!$A$5:$A$34,$A19,'08 Allocation Data'!$J$5:$J$34),IF('07 Support Drivers'!$D$8="Meals",SUMIF('08 Allocation Data'!$A$5:$A$34,$A19,'08 Allocation Data'!$K$5:$K$34),IF('07 Support Drivers'!$D$8="Direct costs",SUMIF('08 Allocation Data'!$A$5:$A$34,$A19,'08 Allocation Data'!$M$5:$M$34),0)))))))/'07 Support Drivers'!$G$8,0))</f>
        <v>0</v>
      </c>
      <c r="I19" s="55">
        <f>IF('07 Support Drivers'!$D$9="Two-stage finance",SUMIF('05 Support &amp; Income'!$A$5:$A$41,I$4,'05 Support &amp; Income'!$F$5:$F$41)*IF(SUMIF('08 Allocation Data'!$A$5:$A$34,$A19,'08 Allocation Data'!$L$5:$L$34)&gt;0,SUMIF('08 Allocation Data'!$A$5:$A$34,$A19,'08 Allocation Data'!$L$5:$L$34),IFERROR((1-SUM('08 Allocation Data'!$L$5:$L$34))*C19/SUMIFS($C$5:$C$34,'08 Allocation Data'!$L$5:$L$34,0),0)),IFERROR(SUMIF('05 Support &amp; Income'!$A$5:$A$41,I$4,'05 Support &amp; Income'!$F$5:$F$41)*IF('07 Support Drivers'!$D$9="Headcount",SUMIF('08 Allocation Data'!$A$5:$A$34,$A19,'08 Allocation Data'!$D$5:$D$34),IF('07 Support Drivers'!$D$9="FTE",SUMIF('08 Allocation Data'!$A$5:$A$34,$A19,'08 Allocation Data'!$E$5:$E$34),IF('07 Support Drivers'!$D$9="Floor space",SUMIF('08 Allocation Data'!$A$5:$A$34,$A19,'08 Allocation Data'!$F$5:$F$34),IF('07 Support Drivers'!$D$9="Weighted floor space",SUMIF('08 Allocation Data'!$A$5:$A$34,$A19,'08 Allocation Data'!$I$5:$I$34),IF('07 Support Drivers'!$D$9="Cleaning hours",SUMIF('08 Allocation Data'!$A$5:$A$34,$A19,'08 Allocation Data'!$J$5:$J$34),IF('07 Support Drivers'!$D$9="Meals",SUMIF('08 Allocation Data'!$A$5:$A$34,$A19,'08 Allocation Data'!$K$5:$K$34),IF('07 Support Drivers'!$D$9="Direct costs",SUMIF('08 Allocation Data'!$A$5:$A$34,$A19,'08 Allocation Data'!$M$5:$M$34),0)))))))/'07 Support Drivers'!$G$9,0))</f>
        <v>0</v>
      </c>
      <c r="J19" s="55">
        <f>IF('07 Support Drivers'!$D$10="Two-stage finance",SUMIF('05 Support &amp; Income'!$A$5:$A$41,J$4,'05 Support &amp; Income'!$F$5:$F$41)*IF(SUMIF('08 Allocation Data'!$A$5:$A$34,$A19,'08 Allocation Data'!$L$5:$L$34)&gt;0,SUMIF('08 Allocation Data'!$A$5:$A$34,$A19,'08 Allocation Data'!$L$5:$L$34),IFERROR((1-SUM('08 Allocation Data'!$L$5:$L$34))*C19/SUMIFS($C$5:$C$34,'08 Allocation Data'!$L$5:$L$34,0),0)),IFERROR(SUMIF('05 Support &amp; Income'!$A$5:$A$41,J$4,'05 Support &amp; Income'!$F$5:$F$41)*IF('07 Support Drivers'!$D$10="Headcount",SUMIF('08 Allocation Data'!$A$5:$A$34,$A19,'08 Allocation Data'!$D$5:$D$34),IF('07 Support Drivers'!$D$10="FTE",SUMIF('08 Allocation Data'!$A$5:$A$34,$A19,'08 Allocation Data'!$E$5:$E$34),IF('07 Support Drivers'!$D$10="Floor space",SUMIF('08 Allocation Data'!$A$5:$A$34,$A19,'08 Allocation Data'!$F$5:$F$34),IF('07 Support Drivers'!$D$10="Weighted floor space",SUMIF('08 Allocation Data'!$A$5:$A$34,$A19,'08 Allocation Data'!$I$5:$I$34),IF('07 Support Drivers'!$D$10="Cleaning hours",SUMIF('08 Allocation Data'!$A$5:$A$34,$A19,'08 Allocation Data'!$J$5:$J$34),IF('07 Support Drivers'!$D$10="Meals",SUMIF('08 Allocation Data'!$A$5:$A$34,$A19,'08 Allocation Data'!$K$5:$K$34),IF('07 Support Drivers'!$D$10="Direct costs",SUMIF('08 Allocation Data'!$A$5:$A$34,$A19,'08 Allocation Data'!$M$5:$M$34),0)))))))/'07 Support Drivers'!$G$10,0))</f>
        <v>0</v>
      </c>
      <c r="K19" s="55">
        <f>IF('07 Support Drivers'!$D$11="Two-stage finance",SUMIF('05 Support &amp; Income'!$A$5:$A$41,K$4,'05 Support &amp; Income'!$F$5:$F$41)*IF(SUMIF('08 Allocation Data'!$A$5:$A$34,$A19,'08 Allocation Data'!$L$5:$L$34)&gt;0,SUMIF('08 Allocation Data'!$A$5:$A$34,$A19,'08 Allocation Data'!$L$5:$L$34),IFERROR((1-SUM('08 Allocation Data'!$L$5:$L$34))*C19/SUMIFS($C$5:$C$34,'08 Allocation Data'!$L$5:$L$34,0),0)),IFERROR(SUMIF('05 Support &amp; Income'!$A$5:$A$41,K$4,'05 Support &amp; Income'!$F$5:$F$41)*IF('07 Support Drivers'!$D$11="Headcount",SUMIF('08 Allocation Data'!$A$5:$A$34,$A19,'08 Allocation Data'!$D$5:$D$34),IF('07 Support Drivers'!$D$11="FTE",SUMIF('08 Allocation Data'!$A$5:$A$34,$A19,'08 Allocation Data'!$E$5:$E$34),IF('07 Support Drivers'!$D$11="Floor space",SUMIF('08 Allocation Data'!$A$5:$A$34,$A19,'08 Allocation Data'!$F$5:$F$34),IF('07 Support Drivers'!$D$11="Weighted floor space",SUMIF('08 Allocation Data'!$A$5:$A$34,$A19,'08 Allocation Data'!$I$5:$I$34),IF('07 Support Drivers'!$D$11="Cleaning hours",SUMIF('08 Allocation Data'!$A$5:$A$34,$A19,'08 Allocation Data'!$J$5:$J$34),IF('07 Support Drivers'!$D$11="Meals",SUMIF('08 Allocation Data'!$A$5:$A$34,$A19,'08 Allocation Data'!$K$5:$K$34),IF('07 Support Drivers'!$D$11="Direct costs",SUMIF('08 Allocation Data'!$A$5:$A$34,$A19,'08 Allocation Data'!$M$5:$M$34),0)))))))/'07 Support Drivers'!$G$11,0))</f>
        <v>0</v>
      </c>
      <c r="L19" s="55">
        <f>IF('07 Support Drivers'!$D$12="Two-stage finance",SUMIF('05 Support &amp; Income'!$A$5:$A$41,L$4,'05 Support &amp; Income'!$F$5:$F$41)*IF(SUMIF('08 Allocation Data'!$A$5:$A$34,$A19,'08 Allocation Data'!$L$5:$L$34)&gt;0,SUMIF('08 Allocation Data'!$A$5:$A$34,$A19,'08 Allocation Data'!$L$5:$L$34),IFERROR((1-SUM('08 Allocation Data'!$L$5:$L$34))*C19/SUMIFS($C$5:$C$34,'08 Allocation Data'!$L$5:$L$34,0),0)),IFERROR(SUMIF('05 Support &amp; Income'!$A$5:$A$41,L$4,'05 Support &amp; Income'!$F$5:$F$41)*IF('07 Support Drivers'!$D$12="Headcount",SUMIF('08 Allocation Data'!$A$5:$A$34,$A19,'08 Allocation Data'!$D$5:$D$34),IF('07 Support Drivers'!$D$12="FTE",SUMIF('08 Allocation Data'!$A$5:$A$34,$A19,'08 Allocation Data'!$E$5:$E$34),IF('07 Support Drivers'!$D$12="Floor space",SUMIF('08 Allocation Data'!$A$5:$A$34,$A19,'08 Allocation Data'!$F$5:$F$34),IF('07 Support Drivers'!$D$12="Weighted floor space",SUMIF('08 Allocation Data'!$A$5:$A$34,$A19,'08 Allocation Data'!$I$5:$I$34),IF('07 Support Drivers'!$D$12="Cleaning hours",SUMIF('08 Allocation Data'!$A$5:$A$34,$A19,'08 Allocation Data'!$J$5:$J$34),IF('07 Support Drivers'!$D$12="Meals",SUMIF('08 Allocation Data'!$A$5:$A$34,$A19,'08 Allocation Data'!$K$5:$K$34),IF('07 Support Drivers'!$D$12="Direct costs",SUMIF('08 Allocation Data'!$A$5:$A$34,$A19,'08 Allocation Data'!$M$5:$M$34),0)))))))/'07 Support Drivers'!$G$12,0))</f>
        <v>0</v>
      </c>
      <c r="M19" s="55">
        <f>IF('07 Support Drivers'!$D$13="Two-stage finance",SUMIF('05 Support &amp; Income'!$A$5:$A$41,M$4,'05 Support &amp; Income'!$F$5:$F$41)*IF(SUMIF('08 Allocation Data'!$A$5:$A$34,$A19,'08 Allocation Data'!$L$5:$L$34)&gt;0,SUMIF('08 Allocation Data'!$A$5:$A$34,$A19,'08 Allocation Data'!$L$5:$L$34),IFERROR((1-SUM('08 Allocation Data'!$L$5:$L$34))*C19/SUMIFS($C$5:$C$34,'08 Allocation Data'!$L$5:$L$34,0),0)),IFERROR(SUMIF('05 Support &amp; Income'!$A$5:$A$41,M$4,'05 Support &amp; Income'!$F$5:$F$41)*IF('07 Support Drivers'!$D$13="Headcount",SUMIF('08 Allocation Data'!$A$5:$A$34,$A19,'08 Allocation Data'!$D$5:$D$34),IF('07 Support Drivers'!$D$13="FTE",SUMIF('08 Allocation Data'!$A$5:$A$34,$A19,'08 Allocation Data'!$E$5:$E$34),IF('07 Support Drivers'!$D$13="Floor space",SUMIF('08 Allocation Data'!$A$5:$A$34,$A19,'08 Allocation Data'!$F$5:$F$34),IF('07 Support Drivers'!$D$13="Weighted floor space",SUMIF('08 Allocation Data'!$A$5:$A$34,$A19,'08 Allocation Data'!$I$5:$I$34),IF('07 Support Drivers'!$D$13="Cleaning hours",SUMIF('08 Allocation Data'!$A$5:$A$34,$A19,'08 Allocation Data'!$J$5:$J$34),IF('07 Support Drivers'!$D$13="Meals",SUMIF('08 Allocation Data'!$A$5:$A$34,$A19,'08 Allocation Data'!$K$5:$K$34),IF('07 Support Drivers'!$D$13="Direct costs",SUMIF('08 Allocation Data'!$A$5:$A$34,$A19,'08 Allocation Data'!$M$5:$M$34),0)))))))/'07 Support Drivers'!$G$13,0))</f>
        <v>0</v>
      </c>
      <c r="N19" s="55">
        <f>IF('07 Support Drivers'!$D$14="Two-stage finance",SUMIF('05 Support &amp; Income'!$A$5:$A$41,N$4,'05 Support &amp; Income'!$F$5:$F$41)*IF(SUMIF('08 Allocation Data'!$A$5:$A$34,$A19,'08 Allocation Data'!$L$5:$L$34)&gt;0,SUMIF('08 Allocation Data'!$A$5:$A$34,$A19,'08 Allocation Data'!$L$5:$L$34),IFERROR((1-SUM('08 Allocation Data'!$L$5:$L$34))*C19/SUMIFS($C$5:$C$34,'08 Allocation Data'!$L$5:$L$34,0),0)),IFERROR(SUMIF('05 Support &amp; Income'!$A$5:$A$41,N$4,'05 Support &amp; Income'!$F$5:$F$41)*IF('07 Support Drivers'!$D$14="Headcount",SUMIF('08 Allocation Data'!$A$5:$A$34,$A19,'08 Allocation Data'!$D$5:$D$34),IF('07 Support Drivers'!$D$14="FTE",SUMIF('08 Allocation Data'!$A$5:$A$34,$A19,'08 Allocation Data'!$E$5:$E$34),IF('07 Support Drivers'!$D$14="Floor space",SUMIF('08 Allocation Data'!$A$5:$A$34,$A19,'08 Allocation Data'!$F$5:$F$34),IF('07 Support Drivers'!$D$14="Weighted floor space",SUMIF('08 Allocation Data'!$A$5:$A$34,$A19,'08 Allocation Data'!$I$5:$I$34),IF('07 Support Drivers'!$D$14="Cleaning hours",SUMIF('08 Allocation Data'!$A$5:$A$34,$A19,'08 Allocation Data'!$J$5:$J$34),IF('07 Support Drivers'!$D$14="Meals",SUMIF('08 Allocation Data'!$A$5:$A$34,$A19,'08 Allocation Data'!$K$5:$K$34),IF('07 Support Drivers'!$D$14="Direct costs",SUMIF('08 Allocation Data'!$A$5:$A$34,$A19,'08 Allocation Data'!$M$5:$M$34),0)))))))/'07 Support Drivers'!$G$14,0))</f>
        <v>0</v>
      </c>
      <c r="O19" s="55">
        <f>IF('07 Support Drivers'!$D$15="Two-stage finance",SUMIF('05 Support &amp; Income'!$A$5:$A$41,O$4,'05 Support &amp; Income'!$F$5:$F$41)*IF(SUMIF('08 Allocation Data'!$A$5:$A$34,$A19,'08 Allocation Data'!$L$5:$L$34)&gt;0,SUMIF('08 Allocation Data'!$A$5:$A$34,$A19,'08 Allocation Data'!$L$5:$L$34),IFERROR((1-SUM('08 Allocation Data'!$L$5:$L$34))*C19/SUMIFS($C$5:$C$34,'08 Allocation Data'!$L$5:$L$34,0),0)),IFERROR(SUMIF('05 Support &amp; Income'!$A$5:$A$41,O$4,'05 Support &amp; Income'!$F$5:$F$41)*IF('07 Support Drivers'!$D$15="Headcount",SUMIF('08 Allocation Data'!$A$5:$A$34,$A19,'08 Allocation Data'!$D$5:$D$34),IF('07 Support Drivers'!$D$15="FTE",SUMIF('08 Allocation Data'!$A$5:$A$34,$A19,'08 Allocation Data'!$E$5:$E$34),IF('07 Support Drivers'!$D$15="Floor space",SUMIF('08 Allocation Data'!$A$5:$A$34,$A19,'08 Allocation Data'!$F$5:$F$34),IF('07 Support Drivers'!$D$15="Weighted floor space",SUMIF('08 Allocation Data'!$A$5:$A$34,$A19,'08 Allocation Data'!$I$5:$I$34),IF('07 Support Drivers'!$D$15="Cleaning hours",SUMIF('08 Allocation Data'!$A$5:$A$34,$A19,'08 Allocation Data'!$J$5:$J$34),IF('07 Support Drivers'!$D$15="Meals",SUMIF('08 Allocation Data'!$A$5:$A$34,$A19,'08 Allocation Data'!$K$5:$K$34),IF('07 Support Drivers'!$D$15="Direct costs",SUMIF('08 Allocation Data'!$A$5:$A$34,$A19,'08 Allocation Data'!$M$5:$M$34),0)))))))/'07 Support Drivers'!$G$15,0))</f>
        <v>0</v>
      </c>
      <c r="P19" s="55">
        <f>IF('07 Support Drivers'!$D$16="Two-stage finance",SUMIF('05 Support &amp; Income'!$A$5:$A$41,P$4,'05 Support &amp; Income'!$F$5:$F$41)*IF(SUMIF('08 Allocation Data'!$A$5:$A$34,$A19,'08 Allocation Data'!$L$5:$L$34)&gt;0,SUMIF('08 Allocation Data'!$A$5:$A$34,$A19,'08 Allocation Data'!$L$5:$L$34),IFERROR((1-SUM('08 Allocation Data'!$L$5:$L$34))*C19/SUMIFS($C$5:$C$34,'08 Allocation Data'!$L$5:$L$34,0),0)),IFERROR(SUMIF('05 Support &amp; Income'!$A$5:$A$41,P$4,'05 Support &amp; Income'!$F$5:$F$41)*IF('07 Support Drivers'!$D$16="Headcount",SUMIF('08 Allocation Data'!$A$5:$A$34,$A19,'08 Allocation Data'!$D$5:$D$34),IF('07 Support Drivers'!$D$16="FTE",SUMIF('08 Allocation Data'!$A$5:$A$34,$A19,'08 Allocation Data'!$E$5:$E$34),IF('07 Support Drivers'!$D$16="Floor space",SUMIF('08 Allocation Data'!$A$5:$A$34,$A19,'08 Allocation Data'!$F$5:$F$34),IF('07 Support Drivers'!$D$16="Weighted floor space",SUMIF('08 Allocation Data'!$A$5:$A$34,$A19,'08 Allocation Data'!$I$5:$I$34),IF('07 Support Drivers'!$D$16="Cleaning hours",SUMIF('08 Allocation Data'!$A$5:$A$34,$A19,'08 Allocation Data'!$J$5:$J$34),IF('07 Support Drivers'!$D$16="Meals",SUMIF('08 Allocation Data'!$A$5:$A$34,$A19,'08 Allocation Data'!$K$5:$K$34),IF('07 Support Drivers'!$D$16="Direct costs",SUMIF('08 Allocation Data'!$A$5:$A$34,$A19,'08 Allocation Data'!$M$5:$M$34),0)))))))/'07 Support Drivers'!$G$16,0))</f>
        <v>0</v>
      </c>
      <c r="Q19" s="55">
        <f>IF('07 Support Drivers'!$D$17="Two-stage finance",SUMIF('05 Support &amp; Income'!$A$5:$A$41,Q$4,'05 Support &amp; Income'!$F$5:$F$41)*IF(SUMIF('08 Allocation Data'!$A$5:$A$34,$A19,'08 Allocation Data'!$L$5:$L$34)&gt;0,SUMIF('08 Allocation Data'!$A$5:$A$34,$A19,'08 Allocation Data'!$L$5:$L$34),IFERROR((1-SUM('08 Allocation Data'!$L$5:$L$34))*C19/SUMIFS($C$5:$C$34,'08 Allocation Data'!$L$5:$L$34,0),0)),IFERROR(SUMIF('05 Support &amp; Income'!$A$5:$A$41,Q$4,'05 Support &amp; Income'!$F$5:$F$41)*IF('07 Support Drivers'!$D$17="Headcount",SUMIF('08 Allocation Data'!$A$5:$A$34,$A19,'08 Allocation Data'!$D$5:$D$34),IF('07 Support Drivers'!$D$17="FTE",SUMIF('08 Allocation Data'!$A$5:$A$34,$A19,'08 Allocation Data'!$E$5:$E$34),IF('07 Support Drivers'!$D$17="Floor space",SUMIF('08 Allocation Data'!$A$5:$A$34,$A19,'08 Allocation Data'!$F$5:$F$34),IF('07 Support Drivers'!$D$17="Weighted floor space",SUMIF('08 Allocation Data'!$A$5:$A$34,$A19,'08 Allocation Data'!$I$5:$I$34),IF('07 Support Drivers'!$D$17="Cleaning hours",SUMIF('08 Allocation Data'!$A$5:$A$34,$A19,'08 Allocation Data'!$J$5:$J$34),IF('07 Support Drivers'!$D$17="Meals",SUMIF('08 Allocation Data'!$A$5:$A$34,$A19,'08 Allocation Data'!$K$5:$K$34),IF('07 Support Drivers'!$D$17="Direct costs",SUMIF('08 Allocation Data'!$A$5:$A$34,$A19,'08 Allocation Data'!$M$5:$M$34),0)))))))/'07 Support Drivers'!$G$17,0))</f>
        <v>0</v>
      </c>
      <c r="R19" s="48">
        <f t="shared" si="0"/>
        <v>0</v>
      </c>
      <c r="S19" s="48">
        <f>SUMIF('04 Service Costs'!$A$5:$A$31,A19,'04 Service Costs'!$M$5:$M$31)+SUMIF('06 Shared Cost Pools'!$D$21:$D$260,A19,'06 Shared Cost Pools'!$I$21:$I$260)</f>
        <v>0</v>
      </c>
      <c r="T19" s="48">
        <f>SUMIF('04 Service Costs'!$A$5:$A$31,A19,'04 Service Costs'!$N$5:$N$31)+SUMIF('06 Shared Cost Pools'!$D$21:$D$260,A19,'06 Shared Cost Pools'!$J$21:$J$260)</f>
        <v>0</v>
      </c>
      <c r="U19" s="48">
        <f>SUMIF('04 Service Costs'!$A$5:$A$31,A19,'04 Service Costs'!$O$5:$O$31)+SUMIF('06 Shared Cost Pools'!$D$21:$D$260,A19,'06 Shared Cost Pools'!$K$21:$K$260)</f>
        <v>0</v>
      </c>
      <c r="V19" s="48">
        <f t="shared" si="1"/>
        <v>0</v>
      </c>
    </row>
    <row r="20" spans="1:22">
      <c r="A20" s="3" t="s">
        <v>149</v>
      </c>
      <c r="B20" s="3" t="s">
        <v>150</v>
      </c>
      <c r="C20" s="55">
        <f>SUMIF('04 Service Costs'!$A$5:$A$31,A20,'04 Service Costs'!$L$5:$L$31)+SUMIF('05 Support &amp; Income'!$A$5:$A$41,A20,'05 Support &amp; Income'!$F$5:$F$41)</f>
        <v>0</v>
      </c>
      <c r="D20" s="55">
        <f>SUMIF('06 Shared Cost Pools'!$D$21:$D$260,A20,'06 Shared Cost Pools'!$F$21:$F$260)</f>
        <v>0</v>
      </c>
      <c r="E20" s="55">
        <f>IF('07 Support Drivers'!$D$5="Two-stage finance",SUMIF('05 Support &amp; Income'!$A$5:$A$41,E$4,'05 Support &amp; Income'!$F$5:$F$41)*IF(SUMIF('08 Allocation Data'!$A$5:$A$34,$A20,'08 Allocation Data'!$L$5:$L$34)&gt;0,SUMIF('08 Allocation Data'!$A$5:$A$34,$A20,'08 Allocation Data'!$L$5:$L$34),IFERROR((1-SUM('08 Allocation Data'!$L$5:$L$34))*C20/SUMIFS($C$5:$C$34,'08 Allocation Data'!$L$5:$L$34,0),0)),IFERROR(SUMIF('05 Support &amp; Income'!$A$5:$A$41,E$4,'05 Support &amp; Income'!$F$5:$F$41)*IF('07 Support Drivers'!$D$5="Headcount",SUMIF('08 Allocation Data'!$A$5:$A$34,$A20,'08 Allocation Data'!$D$5:$D$34),IF('07 Support Drivers'!$D$5="FTE",SUMIF('08 Allocation Data'!$A$5:$A$34,$A20,'08 Allocation Data'!$E$5:$E$34),IF('07 Support Drivers'!$D$5="Floor space",SUMIF('08 Allocation Data'!$A$5:$A$34,$A20,'08 Allocation Data'!$F$5:$F$34),IF('07 Support Drivers'!$D$5="Weighted floor space",SUMIF('08 Allocation Data'!$A$5:$A$34,$A20,'08 Allocation Data'!$I$5:$I$34),IF('07 Support Drivers'!$D$5="Cleaning hours",SUMIF('08 Allocation Data'!$A$5:$A$34,$A20,'08 Allocation Data'!$J$5:$J$34),IF('07 Support Drivers'!$D$5="Meals",SUMIF('08 Allocation Data'!$A$5:$A$34,$A20,'08 Allocation Data'!$K$5:$K$34),IF('07 Support Drivers'!$D$5="Direct costs",SUMIF('08 Allocation Data'!$A$5:$A$34,$A20,'08 Allocation Data'!$M$5:$M$34),0)))))))/'07 Support Drivers'!$G$5,0))</f>
        <v>0</v>
      </c>
      <c r="F20" s="55">
        <f>IF('07 Support Drivers'!$D$6="Two-stage finance",SUMIF('05 Support &amp; Income'!$A$5:$A$41,F$4,'05 Support &amp; Income'!$F$5:$F$41)*IF(SUMIF('08 Allocation Data'!$A$5:$A$34,$A20,'08 Allocation Data'!$L$5:$L$34)&gt;0,SUMIF('08 Allocation Data'!$A$5:$A$34,$A20,'08 Allocation Data'!$L$5:$L$34),IFERROR((1-SUM('08 Allocation Data'!$L$5:$L$34))*C20/SUMIFS($C$5:$C$34,'08 Allocation Data'!$L$5:$L$34,0),0)),IFERROR(SUMIF('05 Support &amp; Income'!$A$5:$A$41,F$4,'05 Support &amp; Income'!$F$5:$F$41)*IF('07 Support Drivers'!$D$6="Headcount",SUMIF('08 Allocation Data'!$A$5:$A$34,$A20,'08 Allocation Data'!$D$5:$D$34),IF('07 Support Drivers'!$D$6="FTE",SUMIF('08 Allocation Data'!$A$5:$A$34,$A20,'08 Allocation Data'!$E$5:$E$34),IF('07 Support Drivers'!$D$6="Floor space",SUMIF('08 Allocation Data'!$A$5:$A$34,$A20,'08 Allocation Data'!$F$5:$F$34),IF('07 Support Drivers'!$D$6="Weighted floor space",SUMIF('08 Allocation Data'!$A$5:$A$34,$A20,'08 Allocation Data'!$I$5:$I$34),IF('07 Support Drivers'!$D$6="Cleaning hours",SUMIF('08 Allocation Data'!$A$5:$A$34,$A20,'08 Allocation Data'!$J$5:$J$34),IF('07 Support Drivers'!$D$6="Meals",SUMIF('08 Allocation Data'!$A$5:$A$34,$A20,'08 Allocation Data'!$K$5:$K$34),IF('07 Support Drivers'!$D$6="Direct costs",SUMIF('08 Allocation Data'!$A$5:$A$34,$A20,'08 Allocation Data'!$M$5:$M$34),0)))))))/'07 Support Drivers'!$G$6,0))</f>
        <v>0</v>
      </c>
      <c r="G20" s="55">
        <f>IF('07 Support Drivers'!$D$7="Two-stage finance",SUMIF('05 Support &amp; Income'!$A$5:$A$41,G$4,'05 Support &amp; Income'!$F$5:$F$41)*IF(SUMIF('08 Allocation Data'!$A$5:$A$34,$A20,'08 Allocation Data'!$L$5:$L$34)&gt;0,SUMIF('08 Allocation Data'!$A$5:$A$34,$A20,'08 Allocation Data'!$L$5:$L$34),IFERROR((1-SUM('08 Allocation Data'!$L$5:$L$34))*C20/SUMIFS($C$5:$C$34,'08 Allocation Data'!$L$5:$L$34,0),0)),IFERROR(SUMIF('05 Support &amp; Income'!$A$5:$A$41,G$4,'05 Support &amp; Income'!$F$5:$F$41)*IF('07 Support Drivers'!$D$7="Headcount",SUMIF('08 Allocation Data'!$A$5:$A$34,$A20,'08 Allocation Data'!$D$5:$D$34),IF('07 Support Drivers'!$D$7="FTE",SUMIF('08 Allocation Data'!$A$5:$A$34,$A20,'08 Allocation Data'!$E$5:$E$34),IF('07 Support Drivers'!$D$7="Floor space",SUMIF('08 Allocation Data'!$A$5:$A$34,$A20,'08 Allocation Data'!$F$5:$F$34),IF('07 Support Drivers'!$D$7="Weighted floor space",SUMIF('08 Allocation Data'!$A$5:$A$34,$A20,'08 Allocation Data'!$I$5:$I$34),IF('07 Support Drivers'!$D$7="Cleaning hours",SUMIF('08 Allocation Data'!$A$5:$A$34,$A20,'08 Allocation Data'!$J$5:$J$34),IF('07 Support Drivers'!$D$7="Meals",SUMIF('08 Allocation Data'!$A$5:$A$34,$A20,'08 Allocation Data'!$K$5:$K$34),IF('07 Support Drivers'!$D$7="Direct costs",SUMIF('08 Allocation Data'!$A$5:$A$34,$A20,'08 Allocation Data'!$M$5:$M$34),0)))))))/'07 Support Drivers'!$G$7,0))</f>
        <v>0</v>
      </c>
      <c r="H20" s="55">
        <f>IF('07 Support Drivers'!$D$8="Two-stage finance",SUMIF('05 Support &amp; Income'!$A$5:$A$41,H$4,'05 Support &amp; Income'!$F$5:$F$41)*IF(SUMIF('08 Allocation Data'!$A$5:$A$34,$A20,'08 Allocation Data'!$L$5:$L$34)&gt;0,SUMIF('08 Allocation Data'!$A$5:$A$34,$A20,'08 Allocation Data'!$L$5:$L$34),IFERROR((1-SUM('08 Allocation Data'!$L$5:$L$34))*C20/SUMIFS($C$5:$C$34,'08 Allocation Data'!$L$5:$L$34,0),0)),IFERROR(SUMIF('05 Support &amp; Income'!$A$5:$A$41,H$4,'05 Support &amp; Income'!$F$5:$F$41)*IF('07 Support Drivers'!$D$8="Headcount",SUMIF('08 Allocation Data'!$A$5:$A$34,$A20,'08 Allocation Data'!$D$5:$D$34),IF('07 Support Drivers'!$D$8="FTE",SUMIF('08 Allocation Data'!$A$5:$A$34,$A20,'08 Allocation Data'!$E$5:$E$34),IF('07 Support Drivers'!$D$8="Floor space",SUMIF('08 Allocation Data'!$A$5:$A$34,$A20,'08 Allocation Data'!$F$5:$F$34),IF('07 Support Drivers'!$D$8="Weighted floor space",SUMIF('08 Allocation Data'!$A$5:$A$34,$A20,'08 Allocation Data'!$I$5:$I$34),IF('07 Support Drivers'!$D$8="Cleaning hours",SUMIF('08 Allocation Data'!$A$5:$A$34,$A20,'08 Allocation Data'!$J$5:$J$34),IF('07 Support Drivers'!$D$8="Meals",SUMIF('08 Allocation Data'!$A$5:$A$34,$A20,'08 Allocation Data'!$K$5:$K$34),IF('07 Support Drivers'!$D$8="Direct costs",SUMIF('08 Allocation Data'!$A$5:$A$34,$A20,'08 Allocation Data'!$M$5:$M$34),0)))))))/'07 Support Drivers'!$G$8,0))</f>
        <v>0</v>
      </c>
      <c r="I20" s="55">
        <f>IF('07 Support Drivers'!$D$9="Two-stage finance",SUMIF('05 Support &amp; Income'!$A$5:$A$41,I$4,'05 Support &amp; Income'!$F$5:$F$41)*IF(SUMIF('08 Allocation Data'!$A$5:$A$34,$A20,'08 Allocation Data'!$L$5:$L$34)&gt;0,SUMIF('08 Allocation Data'!$A$5:$A$34,$A20,'08 Allocation Data'!$L$5:$L$34),IFERROR((1-SUM('08 Allocation Data'!$L$5:$L$34))*C20/SUMIFS($C$5:$C$34,'08 Allocation Data'!$L$5:$L$34,0),0)),IFERROR(SUMIF('05 Support &amp; Income'!$A$5:$A$41,I$4,'05 Support &amp; Income'!$F$5:$F$41)*IF('07 Support Drivers'!$D$9="Headcount",SUMIF('08 Allocation Data'!$A$5:$A$34,$A20,'08 Allocation Data'!$D$5:$D$34),IF('07 Support Drivers'!$D$9="FTE",SUMIF('08 Allocation Data'!$A$5:$A$34,$A20,'08 Allocation Data'!$E$5:$E$34),IF('07 Support Drivers'!$D$9="Floor space",SUMIF('08 Allocation Data'!$A$5:$A$34,$A20,'08 Allocation Data'!$F$5:$F$34),IF('07 Support Drivers'!$D$9="Weighted floor space",SUMIF('08 Allocation Data'!$A$5:$A$34,$A20,'08 Allocation Data'!$I$5:$I$34),IF('07 Support Drivers'!$D$9="Cleaning hours",SUMIF('08 Allocation Data'!$A$5:$A$34,$A20,'08 Allocation Data'!$J$5:$J$34),IF('07 Support Drivers'!$D$9="Meals",SUMIF('08 Allocation Data'!$A$5:$A$34,$A20,'08 Allocation Data'!$K$5:$K$34),IF('07 Support Drivers'!$D$9="Direct costs",SUMIF('08 Allocation Data'!$A$5:$A$34,$A20,'08 Allocation Data'!$M$5:$M$34),0)))))))/'07 Support Drivers'!$G$9,0))</f>
        <v>0</v>
      </c>
      <c r="J20" s="55">
        <f>IF('07 Support Drivers'!$D$10="Two-stage finance",SUMIF('05 Support &amp; Income'!$A$5:$A$41,J$4,'05 Support &amp; Income'!$F$5:$F$41)*IF(SUMIF('08 Allocation Data'!$A$5:$A$34,$A20,'08 Allocation Data'!$L$5:$L$34)&gt;0,SUMIF('08 Allocation Data'!$A$5:$A$34,$A20,'08 Allocation Data'!$L$5:$L$34),IFERROR((1-SUM('08 Allocation Data'!$L$5:$L$34))*C20/SUMIFS($C$5:$C$34,'08 Allocation Data'!$L$5:$L$34,0),0)),IFERROR(SUMIF('05 Support &amp; Income'!$A$5:$A$41,J$4,'05 Support &amp; Income'!$F$5:$F$41)*IF('07 Support Drivers'!$D$10="Headcount",SUMIF('08 Allocation Data'!$A$5:$A$34,$A20,'08 Allocation Data'!$D$5:$D$34),IF('07 Support Drivers'!$D$10="FTE",SUMIF('08 Allocation Data'!$A$5:$A$34,$A20,'08 Allocation Data'!$E$5:$E$34),IF('07 Support Drivers'!$D$10="Floor space",SUMIF('08 Allocation Data'!$A$5:$A$34,$A20,'08 Allocation Data'!$F$5:$F$34),IF('07 Support Drivers'!$D$10="Weighted floor space",SUMIF('08 Allocation Data'!$A$5:$A$34,$A20,'08 Allocation Data'!$I$5:$I$34),IF('07 Support Drivers'!$D$10="Cleaning hours",SUMIF('08 Allocation Data'!$A$5:$A$34,$A20,'08 Allocation Data'!$J$5:$J$34),IF('07 Support Drivers'!$D$10="Meals",SUMIF('08 Allocation Data'!$A$5:$A$34,$A20,'08 Allocation Data'!$K$5:$K$34),IF('07 Support Drivers'!$D$10="Direct costs",SUMIF('08 Allocation Data'!$A$5:$A$34,$A20,'08 Allocation Data'!$M$5:$M$34),0)))))))/'07 Support Drivers'!$G$10,0))</f>
        <v>0</v>
      </c>
      <c r="K20" s="55">
        <f>IF('07 Support Drivers'!$D$11="Two-stage finance",SUMIF('05 Support &amp; Income'!$A$5:$A$41,K$4,'05 Support &amp; Income'!$F$5:$F$41)*IF(SUMIF('08 Allocation Data'!$A$5:$A$34,$A20,'08 Allocation Data'!$L$5:$L$34)&gt;0,SUMIF('08 Allocation Data'!$A$5:$A$34,$A20,'08 Allocation Data'!$L$5:$L$34),IFERROR((1-SUM('08 Allocation Data'!$L$5:$L$34))*C20/SUMIFS($C$5:$C$34,'08 Allocation Data'!$L$5:$L$34,0),0)),IFERROR(SUMIF('05 Support &amp; Income'!$A$5:$A$41,K$4,'05 Support &amp; Income'!$F$5:$F$41)*IF('07 Support Drivers'!$D$11="Headcount",SUMIF('08 Allocation Data'!$A$5:$A$34,$A20,'08 Allocation Data'!$D$5:$D$34),IF('07 Support Drivers'!$D$11="FTE",SUMIF('08 Allocation Data'!$A$5:$A$34,$A20,'08 Allocation Data'!$E$5:$E$34),IF('07 Support Drivers'!$D$11="Floor space",SUMIF('08 Allocation Data'!$A$5:$A$34,$A20,'08 Allocation Data'!$F$5:$F$34),IF('07 Support Drivers'!$D$11="Weighted floor space",SUMIF('08 Allocation Data'!$A$5:$A$34,$A20,'08 Allocation Data'!$I$5:$I$34),IF('07 Support Drivers'!$D$11="Cleaning hours",SUMIF('08 Allocation Data'!$A$5:$A$34,$A20,'08 Allocation Data'!$J$5:$J$34),IF('07 Support Drivers'!$D$11="Meals",SUMIF('08 Allocation Data'!$A$5:$A$34,$A20,'08 Allocation Data'!$K$5:$K$34),IF('07 Support Drivers'!$D$11="Direct costs",SUMIF('08 Allocation Data'!$A$5:$A$34,$A20,'08 Allocation Data'!$M$5:$M$34),0)))))))/'07 Support Drivers'!$G$11,0))</f>
        <v>0</v>
      </c>
      <c r="L20" s="55">
        <f>IF('07 Support Drivers'!$D$12="Two-stage finance",SUMIF('05 Support &amp; Income'!$A$5:$A$41,L$4,'05 Support &amp; Income'!$F$5:$F$41)*IF(SUMIF('08 Allocation Data'!$A$5:$A$34,$A20,'08 Allocation Data'!$L$5:$L$34)&gt;0,SUMIF('08 Allocation Data'!$A$5:$A$34,$A20,'08 Allocation Data'!$L$5:$L$34),IFERROR((1-SUM('08 Allocation Data'!$L$5:$L$34))*C20/SUMIFS($C$5:$C$34,'08 Allocation Data'!$L$5:$L$34,0),0)),IFERROR(SUMIF('05 Support &amp; Income'!$A$5:$A$41,L$4,'05 Support &amp; Income'!$F$5:$F$41)*IF('07 Support Drivers'!$D$12="Headcount",SUMIF('08 Allocation Data'!$A$5:$A$34,$A20,'08 Allocation Data'!$D$5:$D$34),IF('07 Support Drivers'!$D$12="FTE",SUMIF('08 Allocation Data'!$A$5:$A$34,$A20,'08 Allocation Data'!$E$5:$E$34),IF('07 Support Drivers'!$D$12="Floor space",SUMIF('08 Allocation Data'!$A$5:$A$34,$A20,'08 Allocation Data'!$F$5:$F$34),IF('07 Support Drivers'!$D$12="Weighted floor space",SUMIF('08 Allocation Data'!$A$5:$A$34,$A20,'08 Allocation Data'!$I$5:$I$34),IF('07 Support Drivers'!$D$12="Cleaning hours",SUMIF('08 Allocation Data'!$A$5:$A$34,$A20,'08 Allocation Data'!$J$5:$J$34),IF('07 Support Drivers'!$D$12="Meals",SUMIF('08 Allocation Data'!$A$5:$A$34,$A20,'08 Allocation Data'!$K$5:$K$34),IF('07 Support Drivers'!$D$12="Direct costs",SUMIF('08 Allocation Data'!$A$5:$A$34,$A20,'08 Allocation Data'!$M$5:$M$34),0)))))))/'07 Support Drivers'!$G$12,0))</f>
        <v>0</v>
      </c>
      <c r="M20" s="55">
        <f>IF('07 Support Drivers'!$D$13="Two-stage finance",SUMIF('05 Support &amp; Income'!$A$5:$A$41,M$4,'05 Support &amp; Income'!$F$5:$F$41)*IF(SUMIF('08 Allocation Data'!$A$5:$A$34,$A20,'08 Allocation Data'!$L$5:$L$34)&gt;0,SUMIF('08 Allocation Data'!$A$5:$A$34,$A20,'08 Allocation Data'!$L$5:$L$34),IFERROR((1-SUM('08 Allocation Data'!$L$5:$L$34))*C20/SUMIFS($C$5:$C$34,'08 Allocation Data'!$L$5:$L$34,0),0)),IFERROR(SUMIF('05 Support &amp; Income'!$A$5:$A$41,M$4,'05 Support &amp; Income'!$F$5:$F$41)*IF('07 Support Drivers'!$D$13="Headcount",SUMIF('08 Allocation Data'!$A$5:$A$34,$A20,'08 Allocation Data'!$D$5:$D$34),IF('07 Support Drivers'!$D$13="FTE",SUMIF('08 Allocation Data'!$A$5:$A$34,$A20,'08 Allocation Data'!$E$5:$E$34),IF('07 Support Drivers'!$D$13="Floor space",SUMIF('08 Allocation Data'!$A$5:$A$34,$A20,'08 Allocation Data'!$F$5:$F$34),IF('07 Support Drivers'!$D$13="Weighted floor space",SUMIF('08 Allocation Data'!$A$5:$A$34,$A20,'08 Allocation Data'!$I$5:$I$34),IF('07 Support Drivers'!$D$13="Cleaning hours",SUMIF('08 Allocation Data'!$A$5:$A$34,$A20,'08 Allocation Data'!$J$5:$J$34),IF('07 Support Drivers'!$D$13="Meals",SUMIF('08 Allocation Data'!$A$5:$A$34,$A20,'08 Allocation Data'!$K$5:$K$34),IF('07 Support Drivers'!$D$13="Direct costs",SUMIF('08 Allocation Data'!$A$5:$A$34,$A20,'08 Allocation Data'!$M$5:$M$34),0)))))))/'07 Support Drivers'!$G$13,0))</f>
        <v>0</v>
      </c>
      <c r="N20" s="55">
        <f>IF('07 Support Drivers'!$D$14="Two-stage finance",SUMIF('05 Support &amp; Income'!$A$5:$A$41,N$4,'05 Support &amp; Income'!$F$5:$F$41)*IF(SUMIF('08 Allocation Data'!$A$5:$A$34,$A20,'08 Allocation Data'!$L$5:$L$34)&gt;0,SUMIF('08 Allocation Data'!$A$5:$A$34,$A20,'08 Allocation Data'!$L$5:$L$34),IFERROR((1-SUM('08 Allocation Data'!$L$5:$L$34))*C20/SUMIFS($C$5:$C$34,'08 Allocation Data'!$L$5:$L$34,0),0)),IFERROR(SUMIF('05 Support &amp; Income'!$A$5:$A$41,N$4,'05 Support &amp; Income'!$F$5:$F$41)*IF('07 Support Drivers'!$D$14="Headcount",SUMIF('08 Allocation Data'!$A$5:$A$34,$A20,'08 Allocation Data'!$D$5:$D$34),IF('07 Support Drivers'!$D$14="FTE",SUMIF('08 Allocation Data'!$A$5:$A$34,$A20,'08 Allocation Data'!$E$5:$E$34),IF('07 Support Drivers'!$D$14="Floor space",SUMIF('08 Allocation Data'!$A$5:$A$34,$A20,'08 Allocation Data'!$F$5:$F$34),IF('07 Support Drivers'!$D$14="Weighted floor space",SUMIF('08 Allocation Data'!$A$5:$A$34,$A20,'08 Allocation Data'!$I$5:$I$34),IF('07 Support Drivers'!$D$14="Cleaning hours",SUMIF('08 Allocation Data'!$A$5:$A$34,$A20,'08 Allocation Data'!$J$5:$J$34),IF('07 Support Drivers'!$D$14="Meals",SUMIF('08 Allocation Data'!$A$5:$A$34,$A20,'08 Allocation Data'!$K$5:$K$34),IF('07 Support Drivers'!$D$14="Direct costs",SUMIF('08 Allocation Data'!$A$5:$A$34,$A20,'08 Allocation Data'!$M$5:$M$34),0)))))))/'07 Support Drivers'!$G$14,0))</f>
        <v>0</v>
      </c>
      <c r="O20" s="55">
        <f>IF('07 Support Drivers'!$D$15="Two-stage finance",SUMIF('05 Support &amp; Income'!$A$5:$A$41,O$4,'05 Support &amp; Income'!$F$5:$F$41)*IF(SUMIF('08 Allocation Data'!$A$5:$A$34,$A20,'08 Allocation Data'!$L$5:$L$34)&gt;0,SUMIF('08 Allocation Data'!$A$5:$A$34,$A20,'08 Allocation Data'!$L$5:$L$34),IFERROR((1-SUM('08 Allocation Data'!$L$5:$L$34))*C20/SUMIFS($C$5:$C$34,'08 Allocation Data'!$L$5:$L$34,0),0)),IFERROR(SUMIF('05 Support &amp; Income'!$A$5:$A$41,O$4,'05 Support &amp; Income'!$F$5:$F$41)*IF('07 Support Drivers'!$D$15="Headcount",SUMIF('08 Allocation Data'!$A$5:$A$34,$A20,'08 Allocation Data'!$D$5:$D$34),IF('07 Support Drivers'!$D$15="FTE",SUMIF('08 Allocation Data'!$A$5:$A$34,$A20,'08 Allocation Data'!$E$5:$E$34),IF('07 Support Drivers'!$D$15="Floor space",SUMIF('08 Allocation Data'!$A$5:$A$34,$A20,'08 Allocation Data'!$F$5:$F$34),IF('07 Support Drivers'!$D$15="Weighted floor space",SUMIF('08 Allocation Data'!$A$5:$A$34,$A20,'08 Allocation Data'!$I$5:$I$34),IF('07 Support Drivers'!$D$15="Cleaning hours",SUMIF('08 Allocation Data'!$A$5:$A$34,$A20,'08 Allocation Data'!$J$5:$J$34),IF('07 Support Drivers'!$D$15="Meals",SUMIF('08 Allocation Data'!$A$5:$A$34,$A20,'08 Allocation Data'!$K$5:$K$34),IF('07 Support Drivers'!$D$15="Direct costs",SUMIF('08 Allocation Data'!$A$5:$A$34,$A20,'08 Allocation Data'!$M$5:$M$34),0)))))))/'07 Support Drivers'!$G$15,0))</f>
        <v>0</v>
      </c>
      <c r="P20" s="55">
        <f>IF('07 Support Drivers'!$D$16="Two-stage finance",SUMIF('05 Support &amp; Income'!$A$5:$A$41,P$4,'05 Support &amp; Income'!$F$5:$F$41)*IF(SUMIF('08 Allocation Data'!$A$5:$A$34,$A20,'08 Allocation Data'!$L$5:$L$34)&gt;0,SUMIF('08 Allocation Data'!$A$5:$A$34,$A20,'08 Allocation Data'!$L$5:$L$34),IFERROR((1-SUM('08 Allocation Data'!$L$5:$L$34))*C20/SUMIFS($C$5:$C$34,'08 Allocation Data'!$L$5:$L$34,0),0)),IFERROR(SUMIF('05 Support &amp; Income'!$A$5:$A$41,P$4,'05 Support &amp; Income'!$F$5:$F$41)*IF('07 Support Drivers'!$D$16="Headcount",SUMIF('08 Allocation Data'!$A$5:$A$34,$A20,'08 Allocation Data'!$D$5:$D$34),IF('07 Support Drivers'!$D$16="FTE",SUMIF('08 Allocation Data'!$A$5:$A$34,$A20,'08 Allocation Data'!$E$5:$E$34),IF('07 Support Drivers'!$D$16="Floor space",SUMIF('08 Allocation Data'!$A$5:$A$34,$A20,'08 Allocation Data'!$F$5:$F$34),IF('07 Support Drivers'!$D$16="Weighted floor space",SUMIF('08 Allocation Data'!$A$5:$A$34,$A20,'08 Allocation Data'!$I$5:$I$34),IF('07 Support Drivers'!$D$16="Cleaning hours",SUMIF('08 Allocation Data'!$A$5:$A$34,$A20,'08 Allocation Data'!$J$5:$J$34),IF('07 Support Drivers'!$D$16="Meals",SUMIF('08 Allocation Data'!$A$5:$A$34,$A20,'08 Allocation Data'!$K$5:$K$34),IF('07 Support Drivers'!$D$16="Direct costs",SUMIF('08 Allocation Data'!$A$5:$A$34,$A20,'08 Allocation Data'!$M$5:$M$34),0)))))))/'07 Support Drivers'!$G$16,0))</f>
        <v>0</v>
      </c>
      <c r="Q20" s="55">
        <f>IF('07 Support Drivers'!$D$17="Two-stage finance",SUMIF('05 Support &amp; Income'!$A$5:$A$41,Q$4,'05 Support &amp; Income'!$F$5:$F$41)*IF(SUMIF('08 Allocation Data'!$A$5:$A$34,$A20,'08 Allocation Data'!$L$5:$L$34)&gt;0,SUMIF('08 Allocation Data'!$A$5:$A$34,$A20,'08 Allocation Data'!$L$5:$L$34),IFERROR((1-SUM('08 Allocation Data'!$L$5:$L$34))*C20/SUMIFS($C$5:$C$34,'08 Allocation Data'!$L$5:$L$34,0),0)),IFERROR(SUMIF('05 Support &amp; Income'!$A$5:$A$41,Q$4,'05 Support &amp; Income'!$F$5:$F$41)*IF('07 Support Drivers'!$D$17="Headcount",SUMIF('08 Allocation Data'!$A$5:$A$34,$A20,'08 Allocation Data'!$D$5:$D$34),IF('07 Support Drivers'!$D$17="FTE",SUMIF('08 Allocation Data'!$A$5:$A$34,$A20,'08 Allocation Data'!$E$5:$E$34),IF('07 Support Drivers'!$D$17="Floor space",SUMIF('08 Allocation Data'!$A$5:$A$34,$A20,'08 Allocation Data'!$F$5:$F$34),IF('07 Support Drivers'!$D$17="Weighted floor space",SUMIF('08 Allocation Data'!$A$5:$A$34,$A20,'08 Allocation Data'!$I$5:$I$34),IF('07 Support Drivers'!$D$17="Cleaning hours",SUMIF('08 Allocation Data'!$A$5:$A$34,$A20,'08 Allocation Data'!$J$5:$J$34),IF('07 Support Drivers'!$D$17="Meals",SUMIF('08 Allocation Data'!$A$5:$A$34,$A20,'08 Allocation Data'!$K$5:$K$34),IF('07 Support Drivers'!$D$17="Direct costs",SUMIF('08 Allocation Data'!$A$5:$A$34,$A20,'08 Allocation Data'!$M$5:$M$34),0)))))))/'07 Support Drivers'!$G$17,0))</f>
        <v>0</v>
      </c>
      <c r="R20" s="48">
        <f t="shared" si="0"/>
        <v>0</v>
      </c>
      <c r="S20" s="48">
        <f>SUMIF('04 Service Costs'!$A$5:$A$31,A20,'04 Service Costs'!$M$5:$M$31)+SUMIF('06 Shared Cost Pools'!$D$21:$D$260,A20,'06 Shared Cost Pools'!$I$21:$I$260)</f>
        <v>0</v>
      </c>
      <c r="T20" s="48">
        <f>SUMIF('04 Service Costs'!$A$5:$A$31,A20,'04 Service Costs'!$N$5:$N$31)+SUMIF('06 Shared Cost Pools'!$D$21:$D$260,A20,'06 Shared Cost Pools'!$J$21:$J$260)</f>
        <v>0</v>
      </c>
      <c r="U20" s="48">
        <f>SUMIF('04 Service Costs'!$A$5:$A$31,A20,'04 Service Costs'!$O$5:$O$31)+SUMIF('06 Shared Cost Pools'!$D$21:$D$260,A20,'06 Shared Cost Pools'!$K$21:$K$260)</f>
        <v>0</v>
      </c>
      <c r="V20" s="48">
        <f t="shared" si="1"/>
        <v>0</v>
      </c>
    </row>
    <row r="21" spans="1:22">
      <c r="A21" s="3" t="s">
        <v>151</v>
      </c>
      <c r="B21" s="3" t="s">
        <v>152</v>
      </c>
      <c r="C21" s="55">
        <f>SUMIF('04 Service Costs'!$A$5:$A$31,A21,'04 Service Costs'!$L$5:$L$31)+SUMIF('05 Support &amp; Income'!$A$5:$A$41,A21,'05 Support &amp; Income'!$F$5:$F$41)</f>
        <v>0</v>
      </c>
      <c r="D21" s="55">
        <f>SUMIF('06 Shared Cost Pools'!$D$21:$D$260,A21,'06 Shared Cost Pools'!$F$21:$F$260)</f>
        <v>0</v>
      </c>
      <c r="E21" s="55">
        <f>IF('07 Support Drivers'!$D$5="Two-stage finance",SUMIF('05 Support &amp; Income'!$A$5:$A$41,E$4,'05 Support &amp; Income'!$F$5:$F$41)*IF(SUMIF('08 Allocation Data'!$A$5:$A$34,$A21,'08 Allocation Data'!$L$5:$L$34)&gt;0,SUMIF('08 Allocation Data'!$A$5:$A$34,$A21,'08 Allocation Data'!$L$5:$L$34),IFERROR((1-SUM('08 Allocation Data'!$L$5:$L$34))*C21/SUMIFS($C$5:$C$34,'08 Allocation Data'!$L$5:$L$34,0),0)),IFERROR(SUMIF('05 Support &amp; Income'!$A$5:$A$41,E$4,'05 Support &amp; Income'!$F$5:$F$41)*IF('07 Support Drivers'!$D$5="Headcount",SUMIF('08 Allocation Data'!$A$5:$A$34,$A21,'08 Allocation Data'!$D$5:$D$34),IF('07 Support Drivers'!$D$5="FTE",SUMIF('08 Allocation Data'!$A$5:$A$34,$A21,'08 Allocation Data'!$E$5:$E$34),IF('07 Support Drivers'!$D$5="Floor space",SUMIF('08 Allocation Data'!$A$5:$A$34,$A21,'08 Allocation Data'!$F$5:$F$34),IF('07 Support Drivers'!$D$5="Weighted floor space",SUMIF('08 Allocation Data'!$A$5:$A$34,$A21,'08 Allocation Data'!$I$5:$I$34),IF('07 Support Drivers'!$D$5="Cleaning hours",SUMIF('08 Allocation Data'!$A$5:$A$34,$A21,'08 Allocation Data'!$J$5:$J$34),IF('07 Support Drivers'!$D$5="Meals",SUMIF('08 Allocation Data'!$A$5:$A$34,$A21,'08 Allocation Data'!$K$5:$K$34),IF('07 Support Drivers'!$D$5="Direct costs",SUMIF('08 Allocation Data'!$A$5:$A$34,$A21,'08 Allocation Data'!$M$5:$M$34),0)))))))/'07 Support Drivers'!$G$5,0))</f>
        <v>0</v>
      </c>
      <c r="F21" s="55">
        <f>IF('07 Support Drivers'!$D$6="Two-stage finance",SUMIF('05 Support &amp; Income'!$A$5:$A$41,F$4,'05 Support &amp; Income'!$F$5:$F$41)*IF(SUMIF('08 Allocation Data'!$A$5:$A$34,$A21,'08 Allocation Data'!$L$5:$L$34)&gt;0,SUMIF('08 Allocation Data'!$A$5:$A$34,$A21,'08 Allocation Data'!$L$5:$L$34),IFERROR((1-SUM('08 Allocation Data'!$L$5:$L$34))*C21/SUMIFS($C$5:$C$34,'08 Allocation Data'!$L$5:$L$34,0),0)),IFERROR(SUMIF('05 Support &amp; Income'!$A$5:$A$41,F$4,'05 Support &amp; Income'!$F$5:$F$41)*IF('07 Support Drivers'!$D$6="Headcount",SUMIF('08 Allocation Data'!$A$5:$A$34,$A21,'08 Allocation Data'!$D$5:$D$34),IF('07 Support Drivers'!$D$6="FTE",SUMIF('08 Allocation Data'!$A$5:$A$34,$A21,'08 Allocation Data'!$E$5:$E$34),IF('07 Support Drivers'!$D$6="Floor space",SUMIF('08 Allocation Data'!$A$5:$A$34,$A21,'08 Allocation Data'!$F$5:$F$34),IF('07 Support Drivers'!$D$6="Weighted floor space",SUMIF('08 Allocation Data'!$A$5:$A$34,$A21,'08 Allocation Data'!$I$5:$I$34),IF('07 Support Drivers'!$D$6="Cleaning hours",SUMIF('08 Allocation Data'!$A$5:$A$34,$A21,'08 Allocation Data'!$J$5:$J$34),IF('07 Support Drivers'!$D$6="Meals",SUMIF('08 Allocation Data'!$A$5:$A$34,$A21,'08 Allocation Data'!$K$5:$K$34),IF('07 Support Drivers'!$D$6="Direct costs",SUMIF('08 Allocation Data'!$A$5:$A$34,$A21,'08 Allocation Data'!$M$5:$M$34),0)))))))/'07 Support Drivers'!$G$6,0))</f>
        <v>0</v>
      </c>
      <c r="G21" s="55">
        <f>IF('07 Support Drivers'!$D$7="Two-stage finance",SUMIF('05 Support &amp; Income'!$A$5:$A$41,G$4,'05 Support &amp; Income'!$F$5:$F$41)*IF(SUMIF('08 Allocation Data'!$A$5:$A$34,$A21,'08 Allocation Data'!$L$5:$L$34)&gt;0,SUMIF('08 Allocation Data'!$A$5:$A$34,$A21,'08 Allocation Data'!$L$5:$L$34),IFERROR((1-SUM('08 Allocation Data'!$L$5:$L$34))*C21/SUMIFS($C$5:$C$34,'08 Allocation Data'!$L$5:$L$34,0),0)),IFERROR(SUMIF('05 Support &amp; Income'!$A$5:$A$41,G$4,'05 Support &amp; Income'!$F$5:$F$41)*IF('07 Support Drivers'!$D$7="Headcount",SUMIF('08 Allocation Data'!$A$5:$A$34,$A21,'08 Allocation Data'!$D$5:$D$34),IF('07 Support Drivers'!$D$7="FTE",SUMIF('08 Allocation Data'!$A$5:$A$34,$A21,'08 Allocation Data'!$E$5:$E$34),IF('07 Support Drivers'!$D$7="Floor space",SUMIF('08 Allocation Data'!$A$5:$A$34,$A21,'08 Allocation Data'!$F$5:$F$34),IF('07 Support Drivers'!$D$7="Weighted floor space",SUMIF('08 Allocation Data'!$A$5:$A$34,$A21,'08 Allocation Data'!$I$5:$I$34),IF('07 Support Drivers'!$D$7="Cleaning hours",SUMIF('08 Allocation Data'!$A$5:$A$34,$A21,'08 Allocation Data'!$J$5:$J$34),IF('07 Support Drivers'!$D$7="Meals",SUMIF('08 Allocation Data'!$A$5:$A$34,$A21,'08 Allocation Data'!$K$5:$K$34),IF('07 Support Drivers'!$D$7="Direct costs",SUMIF('08 Allocation Data'!$A$5:$A$34,$A21,'08 Allocation Data'!$M$5:$M$34),0)))))))/'07 Support Drivers'!$G$7,0))</f>
        <v>0</v>
      </c>
      <c r="H21" s="55">
        <f>IF('07 Support Drivers'!$D$8="Two-stage finance",SUMIF('05 Support &amp; Income'!$A$5:$A$41,H$4,'05 Support &amp; Income'!$F$5:$F$41)*IF(SUMIF('08 Allocation Data'!$A$5:$A$34,$A21,'08 Allocation Data'!$L$5:$L$34)&gt;0,SUMIF('08 Allocation Data'!$A$5:$A$34,$A21,'08 Allocation Data'!$L$5:$L$34),IFERROR((1-SUM('08 Allocation Data'!$L$5:$L$34))*C21/SUMIFS($C$5:$C$34,'08 Allocation Data'!$L$5:$L$34,0),0)),IFERROR(SUMIF('05 Support &amp; Income'!$A$5:$A$41,H$4,'05 Support &amp; Income'!$F$5:$F$41)*IF('07 Support Drivers'!$D$8="Headcount",SUMIF('08 Allocation Data'!$A$5:$A$34,$A21,'08 Allocation Data'!$D$5:$D$34),IF('07 Support Drivers'!$D$8="FTE",SUMIF('08 Allocation Data'!$A$5:$A$34,$A21,'08 Allocation Data'!$E$5:$E$34),IF('07 Support Drivers'!$D$8="Floor space",SUMIF('08 Allocation Data'!$A$5:$A$34,$A21,'08 Allocation Data'!$F$5:$F$34),IF('07 Support Drivers'!$D$8="Weighted floor space",SUMIF('08 Allocation Data'!$A$5:$A$34,$A21,'08 Allocation Data'!$I$5:$I$34),IF('07 Support Drivers'!$D$8="Cleaning hours",SUMIF('08 Allocation Data'!$A$5:$A$34,$A21,'08 Allocation Data'!$J$5:$J$34),IF('07 Support Drivers'!$D$8="Meals",SUMIF('08 Allocation Data'!$A$5:$A$34,$A21,'08 Allocation Data'!$K$5:$K$34),IF('07 Support Drivers'!$D$8="Direct costs",SUMIF('08 Allocation Data'!$A$5:$A$34,$A21,'08 Allocation Data'!$M$5:$M$34),0)))))))/'07 Support Drivers'!$G$8,0))</f>
        <v>0</v>
      </c>
      <c r="I21" s="55">
        <f>IF('07 Support Drivers'!$D$9="Two-stage finance",SUMIF('05 Support &amp; Income'!$A$5:$A$41,I$4,'05 Support &amp; Income'!$F$5:$F$41)*IF(SUMIF('08 Allocation Data'!$A$5:$A$34,$A21,'08 Allocation Data'!$L$5:$L$34)&gt;0,SUMIF('08 Allocation Data'!$A$5:$A$34,$A21,'08 Allocation Data'!$L$5:$L$34),IFERROR((1-SUM('08 Allocation Data'!$L$5:$L$34))*C21/SUMIFS($C$5:$C$34,'08 Allocation Data'!$L$5:$L$34,0),0)),IFERROR(SUMIF('05 Support &amp; Income'!$A$5:$A$41,I$4,'05 Support &amp; Income'!$F$5:$F$41)*IF('07 Support Drivers'!$D$9="Headcount",SUMIF('08 Allocation Data'!$A$5:$A$34,$A21,'08 Allocation Data'!$D$5:$D$34),IF('07 Support Drivers'!$D$9="FTE",SUMIF('08 Allocation Data'!$A$5:$A$34,$A21,'08 Allocation Data'!$E$5:$E$34),IF('07 Support Drivers'!$D$9="Floor space",SUMIF('08 Allocation Data'!$A$5:$A$34,$A21,'08 Allocation Data'!$F$5:$F$34),IF('07 Support Drivers'!$D$9="Weighted floor space",SUMIF('08 Allocation Data'!$A$5:$A$34,$A21,'08 Allocation Data'!$I$5:$I$34),IF('07 Support Drivers'!$D$9="Cleaning hours",SUMIF('08 Allocation Data'!$A$5:$A$34,$A21,'08 Allocation Data'!$J$5:$J$34),IF('07 Support Drivers'!$D$9="Meals",SUMIF('08 Allocation Data'!$A$5:$A$34,$A21,'08 Allocation Data'!$K$5:$K$34),IF('07 Support Drivers'!$D$9="Direct costs",SUMIF('08 Allocation Data'!$A$5:$A$34,$A21,'08 Allocation Data'!$M$5:$M$34),0)))))))/'07 Support Drivers'!$G$9,0))</f>
        <v>0</v>
      </c>
      <c r="J21" s="55">
        <f>IF('07 Support Drivers'!$D$10="Two-stage finance",SUMIF('05 Support &amp; Income'!$A$5:$A$41,J$4,'05 Support &amp; Income'!$F$5:$F$41)*IF(SUMIF('08 Allocation Data'!$A$5:$A$34,$A21,'08 Allocation Data'!$L$5:$L$34)&gt;0,SUMIF('08 Allocation Data'!$A$5:$A$34,$A21,'08 Allocation Data'!$L$5:$L$34),IFERROR((1-SUM('08 Allocation Data'!$L$5:$L$34))*C21/SUMIFS($C$5:$C$34,'08 Allocation Data'!$L$5:$L$34,0),0)),IFERROR(SUMIF('05 Support &amp; Income'!$A$5:$A$41,J$4,'05 Support &amp; Income'!$F$5:$F$41)*IF('07 Support Drivers'!$D$10="Headcount",SUMIF('08 Allocation Data'!$A$5:$A$34,$A21,'08 Allocation Data'!$D$5:$D$34),IF('07 Support Drivers'!$D$10="FTE",SUMIF('08 Allocation Data'!$A$5:$A$34,$A21,'08 Allocation Data'!$E$5:$E$34),IF('07 Support Drivers'!$D$10="Floor space",SUMIF('08 Allocation Data'!$A$5:$A$34,$A21,'08 Allocation Data'!$F$5:$F$34),IF('07 Support Drivers'!$D$10="Weighted floor space",SUMIF('08 Allocation Data'!$A$5:$A$34,$A21,'08 Allocation Data'!$I$5:$I$34),IF('07 Support Drivers'!$D$10="Cleaning hours",SUMIF('08 Allocation Data'!$A$5:$A$34,$A21,'08 Allocation Data'!$J$5:$J$34),IF('07 Support Drivers'!$D$10="Meals",SUMIF('08 Allocation Data'!$A$5:$A$34,$A21,'08 Allocation Data'!$K$5:$K$34),IF('07 Support Drivers'!$D$10="Direct costs",SUMIF('08 Allocation Data'!$A$5:$A$34,$A21,'08 Allocation Data'!$M$5:$M$34),0)))))))/'07 Support Drivers'!$G$10,0))</f>
        <v>0</v>
      </c>
      <c r="K21" s="55">
        <f>IF('07 Support Drivers'!$D$11="Two-stage finance",SUMIF('05 Support &amp; Income'!$A$5:$A$41,K$4,'05 Support &amp; Income'!$F$5:$F$41)*IF(SUMIF('08 Allocation Data'!$A$5:$A$34,$A21,'08 Allocation Data'!$L$5:$L$34)&gt;0,SUMIF('08 Allocation Data'!$A$5:$A$34,$A21,'08 Allocation Data'!$L$5:$L$34),IFERROR((1-SUM('08 Allocation Data'!$L$5:$L$34))*C21/SUMIFS($C$5:$C$34,'08 Allocation Data'!$L$5:$L$34,0),0)),IFERROR(SUMIF('05 Support &amp; Income'!$A$5:$A$41,K$4,'05 Support &amp; Income'!$F$5:$F$41)*IF('07 Support Drivers'!$D$11="Headcount",SUMIF('08 Allocation Data'!$A$5:$A$34,$A21,'08 Allocation Data'!$D$5:$D$34),IF('07 Support Drivers'!$D$11="FTE",SUMIF('08 Allocation Data'!$A$5:$A$34,$A21,'08 Allocation Data'!$E$5:$E$34),IF('07 Support Drivers'!$D$11="Floor space",SUMIF('08 Allocation Data'!$A$5:$A$34,$A21,'08 Allocation Data'!$F$5:$F$34),IF('07 Support Drivers'!$D$11="Weighted floor space",SUMIF('08 Allocation Data'!$A$5:$A$34,$A21,'08 Allocation Data'!$I$5:$I$34),IF('07 Support Drivers'!$D$11="Cleaning hours",SUMIF('08 Allocation Data'!$A$5:$A$34,$A21,'08 Allocation Data'!$J$5:$J$34),IF('07 Support Drivers'!$D$11="Meals",SUMIF('08 Allocation Data'!$A$5:$A$34,$A21,'08 Allocation Data'!$K$5:$K$34),IF('07 Support Drivers'!$D$11="Direct costs",SUMIF('08 Allocation Data'!$A$5:$A$34,$A21,'08 Allocation Data'!$M$5:$M$34),0)))))))/'07 Support Drivers'!$G$11,0))</f>
        <v>0</v>
      </c>
      <c r="L21" s="55">
        <f>IF('07 Support Drivers'!$D$12="Two-stage finance",SUMIF('05 Support &amp; Income'!$A$5:$A$41,L$4,'05 Support &amp; Income'!$F$5:$F$41)*IF(SUMIF('08 Allocation Data'!$A$5:$A$34,$A21,'08 Allocation Data'!$L$5:$L$34)&gt;0,SUMIF('08 Allocation Data'!$A$5:$A$34,$A21,'08 Allocation Data'!$L$5:$L$34),IFERROR((1-SUM('08 Allocation Data'!$L$5:$L$34))*C21/SUMIFS($C$5:$C$34,'08 Allocation Data'!$L$5:$L$34,0),0)),IFERROR(SUMIF('05 Support &amp; Income'!$A$5:$A$41,L$4,'05 Support &amp; Income'!$F$5:$F$41)*IF('07 Support Drivers'!$D$12="Headcount",SUMIF('08 Allocation Data'!$A$5:$A$34,$A21,'08 Allocation Data'!$D$5:$D$34),IF('07 Support Drivers'!$D$12="FTE",SUMIF('08 Allocation Data'!$A$5:$A$34,$A21,'08 Allocation Data'!$E$5:$E$34),IF('07 Support Drivers'!$D$12="Floor space",SUMIF('08 Allocation Data'!$A$5:$A$34,$A21,'08 Allocation Data'!$F$5:$F$34),IF('07 Support Drivers'!$D$12="Weighted floor space",SUMIF('08 Allocation Data'!$A$5:$A$34,$A21,'08 Allocation Data'!$I$5:$I$34),IF('07 Support Drivers'!$D$12="Cleaning hours",SUMIF('08 Allocation Data'!$A$5:$A$34,$A21,'08 Allocation Data'!$J$5:$J$34),IF('07 Support Drivers'!$D$12="Meals",SUMIF('08 Allocation Data'!$A$5:$A$34,$A21,'08 Allocation Data'!$K$5:$K$34),IF('07 Support Drivers'!$D$12="Direct costs",SUMIF('08 Allocation Data'!$A$5:$A$34,$A21,'08 Allocation Data'!$M$5:$M$34),0)))))))/'07 Support Drivers'!$G$12,0))</f>
        <v>0</v>
      </c>
      <c r="M21" s="55">
        <f>IF('07 Support Drivers'!$D$13="Two-stage finance",SUMIF('05 Support &amp; Income'!$A$5:$A$41,M$4,'05 Support &amp; Income'!$F$5:$F$41)*IF(SUMIF('08 Allocation Data'!$A$5:$A$34,$A21,'08 Allocation Data'!$L$5:$L$34)&gt;0,SUMIF('08 Allocation Data'!$A$5:$A$34,$A21,'08 Allocation Data'!$L$5:$L$34),IFERROR((1-SUM('08 Allocation Data'!$L$5:$L$34))*C21/SUMIFS($C$5:$C$34,'08 Allocation Data'!$L$5:$L$34,0),0)),IFERROR(SUMIF('05 Support &amp; Income'!$A$5:$A$41,M$4,'05 Support &amp; Income'!$F$5:$F$41)*IF('07 Support Drivers'!$D$13="Headcount",SUMIF('08 Allocation Data'!$A$5:$A$34,$A21,'08 Allocation Data'!$D$5:$D$34),IF('07 Support Drivers'!$D$13="FTE",SUMIF('08 Allocation Data'!$A$5:$A$34,$A21,'08 Allocation Data'!$E$5:$E$34),IF('07 Support Drivers'!$D$13="Floor space",SUMIF('08 Allocation Data'!$A$5:$A$34,$A21,'08 Allocation Data'!$F$5:$F$34),IF('07 Support Drivers'!$D$13="Weighted floor space",SUMIF('08 Allocation Data'!$A$5:$A$34,$A21,'08 Allocation Data'!$I$5:$I$34),IF('07 Support Drivers'!$D$13="Cleaning hours",SUMIF('08 Allocation Data'!$A$5:$A$34,$A21,'08 Allocation Data'!$J$5:$J$34),IF('07 Support Drivers'!$D$13="Meals",SUMIF('08 Allocation Data'!$A$5:$A$34,$A21,'08 Allocation Data'!$K$5:$K$34),IF('07 Support Drivers'!$D$13="Direct costs",SUMIF('08 Allocation Data'!$A$5:$A$34,$A21,'08 Allocation Data'!$M$5:$M$34),0)))))))/'07 Support Drivers'!$G$13,0))</f>
        <v>0</v>
      </c>
      <c r="N21" s="55">
        <f>IF('07 Support Drivers'!$D$14="Two-stage finance",SUMIF('05 Support &amp; Income'!$A$5:$A$41,N$4,'05 Support &amp; Income'!$F$5:$F$41)*IF(SUMIF('08 Allocation Data'!$A$5:$A$34,$A21,'08 Allocation Data'!$L$5:$L$34)&gt;0,SUMIF('08 Allocation Data'!$A$5:$A$34,$A21,'08 Allocation Data'!$L$5:$L$34),IFERROR((1-SUM('08 Allocation Data'!$L$5:$L$34))*C21/SUMIFS($C$5:$C$34,'08 Allocation Data'!$L$5:$L$34,0),0)),IFERROR(SUMIF('05 Support &amp; Income'!$A$5:$A$41,N$4,'05 Support &amp; Income'!$F$5:$F$41)*IF('07 Support Drivers'!$D$14="Headcount",SUMIF('08 Allocation Data'!$A$5:$A$34,$A21,'08 Allocation Data'!$D$5:$D$34),IF('07 Support Drivers'!$D$14="FTE",SUMIF('08 Allocation Data'!$A$5:$A$34,$A21,'08 Allocation Data'!$E$5:$E$34),IF('07 Support Drivers'!$D$14="Floor space",SUMIF('08 Allocation Data'!$A$5:$A$34,$A21,'08 Allocation Data'!$F$5:$F$34),IF('07 Support Drivers'!$D$14="Weighted floor space",SUMIF('08 Allocation Data'!$A$5:$A$34,$A21,'08 Allocation Data'!$I$5:$I$34),IF('07 Support Drivers'!$D$14="Cleaning hours",SUMIF('08 Allocation Data'!$A$5:$A$34,$A21,'08 Allocation Data'!$J$5:$J$34),IF('07 Support Drivers'!$D$14="Meals",SUMIF('08 Allocation Data'!$A$5:$A$34,$A21,'08 Allocation Data'!$K$5:$K$34),IF('07 Support Drivers'!$D$14="Direct costs",SUMIF('08 Allocation Data'!$A$5:$A$34,$A21,'08 Allocation Data'!$M$5:$M$34),0)))))))/'07 Support Drivers'!$G$14,0))</f>
        <v>0</v>
      </c>
      <c r="O21" s="55">
        <f>IF('07 Support Drivers'!$D$15="Two-stage finance",SUMIF('05 Support &amp; Income'!$A$5:$A$41,O$4,'05 Support &amp; Income'!$F$5:$F$41)*IF(SUMIF('08 Allocation Data'!$A$5:$A$34,$A21,'08 Allocation Data'!$L$5:$L$34)&gt;0,SUMIF('08 Allocation Data'!$A$5:$A$34,$A21,'08 Allocation Data'!$L$5:$L$34),IFERROR((1-SUM('08 Allocation Data'!$L$5:$L$34))*C21/SUMIFS($C$5:$C$34,'08 Allocation Data'!$L$5:$L$34,0),0)),IFERROR(SUMIF('05 Support &amp; Income'!$A$5:$A$41,O$4,'05 Support &amp; Income'!$F$5:$F$41)*IF('07 Support Drivers'!$D$15="Headcount",SUMIF('08 Allocation Data'!$A$5:$A$34,$A21,'08 Allocation Data'!$D$5:$D$34),IF('07 Support Drivers'!$D$15="FTE",SUMIF('08 Allocation Data'!$A$5:$A$34,$A21,'08 Allocation Data'!$E$5:$E$34),IF('07 Support Drivers'!$D$15="Floor space",SUMIF('08 Allocation Data'!$A$5:$A$34,$A21,'08 Allocation Data'!$F$5:$F$34),IF('07 Support Drivers'!$D$15="Weighted floor space",SUMIF('08 Allocation Data'!$A$5:$A$34,$A21,'08 Allocation Data'!$I$5:$I$34),IF('07 Support Drivers'!$D$15="Cleaning hours",SUMIF('08 Allocation Data'!$A$5:$A$34,$A21,'08 Allocation Data'!$J$5:$J$34),IF('07 Support Drivers'!$D$15="Meals",SUMIF('08 Allocation Data'!$A$5:$A$34,$A21,'08 Allocation Data'!$K$5:$K$34),IF('07 Support Drivers'!$D$15="Direct costs",SUMIF('08 Allocation Data'!$A$5:$A$34,$A21,'08 Allocation Data'!$M$5:$M$34),0)))))))/'07 Support Drivers'!$G$15,0))</f>
        <v>0</v>
      </c>
      <c r="P21" s="55">
        <f>IF('07 Support Drivers'!$D$16="Two-stage finance",SUMIF('05 Support &amp; Income'!$A$5:$A$41,P$4,'05 Support &amp; Income'!$F$5:$F$41)*IF(SUMIF('08 Allocation Data'!$A$5:$A$34,$A21,'08 Allocation Data'!$L$5:$L$34)&gt;0,SUMIF('08 Allocation Data'!$A$5:$A$34,$A21,'08 Allocation Data'!$L$5:$L$34),IFERROR((1-SUM('08 Allocation Data'!$L$5:$L$34))*C21/SUMIFS($C$5:$C$34,'08 Allocation Data'!$L$5:$L$34,0),0)),IFERROR(SUMIF('05 Support &amp; Income'!$A$5:$A$41,P$4,'05 Support &amp; Income'!$F$5:$F$41)*IF('07 Support Drivers'!$D$16="Headcount",SUMIF('08 Allocation Data'!$A$5:$A$34,$A21,'08 Allocation Data'!$D$5:$D$34),IF('07 Support Drivers'!$D$16="FTE",SUMIF('08 Allocation Data'!$A$5:$A$34,$A21,'08 Allocation Data'!$E$5:$E$34),IF('07 Support Drivers'!$D$16="Floor space",SUMIF('08 Allocation Data'!$A$5:$A$34,$A21,'08 Allocation Data'!$F$5:$F$34),IF('07 Support Drivers'!$D$16="Weighted floor space",SUMIF('08 Allocation Data'!$A$5:$A$34,$A21,'08 Allocation Data'!$I$5:$I$34),IF('07 Support Drivers'!$D$16="Cleaning hours",SUMIF('08 Allocation Data'!$A$5:$A$34,$A21,'08 Allocation Data'!$J$5:$J$34),IF('07 Support Drivers'!$D$16="Meals",SUMIF('08 Allocation Data'!$A$5:$A$34,$A21,'08 Allocation Data'!$K$5:$K$34),IF('07 Support Drivers'!$D$16="Direct costs",SUMIF('08 Allocation Data'!$A$5:$A$34,$A21,'08 Allocation Data'!$M$5:$M$34),0)))))))/'07 Support Drivers'!$G$16,0))</f>
        <v>0</v>
      </c>
      <c r="Q21" s="55">
        <f>IF('07 Support Drivers'!$D$17="Two-stage finance",SUMIF('05 Support &amp; Income'!$A$5:$A$41,Q$4,'05 Support &amp; Income'!$F$5:$F$41)*IF(SUMIF('08 Allocation Data'!$A$5:$A$34,$A21,'08 Allocation Data'!$L$5:$L$34)&gt;0,SUMIF('08 Allocation Data'!$A$5:$A$34,$A21,'08 Allocation Data'!$L$5:$L$34),IFERROR((1-SUM('08 Allocation Data'!$L$5:$L$34))*C21/SUMIFS($C$5:$C$34,'08 Allocation Data'!$L$5:$L$34,0),0)),IFERROR(SUMIF('05 Support &amp; Income'!$A$5:$A$41,Q$4,'05 Support &amp; Income'!$F$5:$F$41)*IF('07 Support Drivers'!$D$17="Headcount",SUMIF('08 Allocation Data'!$A$5:$A$34,$A21,'08 Allocation Data'!$D$5:$D$34),IF('07 Support Drivers'!$D$17="FTE",SUMIF('08 Allocation Data'!$A$5:$A$34,$A21,'08 Allocation Data'!$E$5:$E$34),IF('07 Support Drivers'!$D$17="Floor space",SUMIF('08 Allocation Data'!$A$5:$A$34,$A21,'08 Allocation Data'!$F$5:$F$34),IF('07 Support Drivers'!$D$17="Weighted floor space",SUMIF('08 Allocation Data'!$A$5:$A$34,$A21,'08 Allocation Data'!$I$5:$I$34),IF('07 Support Drivers'!$D$17="Cleaning hours",SUMIF('08 Allocation Data'!$A$5:$A$34,$A21,'08 Allocation Data'!$J$5:$J$34),IF('07 Support Drivers'!$D$17="Meals",SUMIF('08 Allocation Data'!$A$5:$A$34,$A21,'08 Allocation Data'!$K$5:$K$34),IF('07 Support Drivers'!$D$17="Direct costs",SUMIF('08 Allocation Data'!$A$5:$A$34,$A21,'08 Allocation Data'!$M$5:$M$34),0)))))))/'07 Support Drivers'!$G$17,0))</f>
        <v>0</v>
      </c>
      <c r="R21" s="48">
        <f t="shared" si="0"/>
        <v>0</v>
      </c>
      <c r="S21" s="48">
        <f>SUMIF('04 Service Costs'!$A$5:$A$31,A21,'04 Service Costs'!$M$5:$M$31)+SUMIF('06 Shared Cost Pools'!$D$21:$D$260,A21,'06 Shared Cost Pools'!$I$21:$I$260)</f>
        <v>0</v>
      </c>
      <c r="T21" s="48">
        <f>SUMIF('04 Service Costs'!$A$5:$A$31,A21,'04 Service Costs'!$N$5:$N$31)+SUMIF('06 Shared Cost Pools'!$D$21:$D$260,A21,'06 Shared Cost Pools'!$J$21:$J$260)</f>
        <v>0</v>
      </c>
      <c r="U21" s="48">
        <f>SUMIF('04 Service Costs'!$A$5:$A$31,A21,'04 Service Costs'!$O$5:$O$31)+SUMIF('06 Shared Cost Pools'!$D$21:$D$260,A21,'06 Shared Cost Pools'!$K$21:$K$260)</f>
        <v>0</v>
      </c>
      <c r="V21" s="48">
        <f t="shared" si="1"/>
        <v>0</v>
      </c>
    </row>
    <row r="22" spans="1:22">
      <c r="A22" s="3" t="s">
        <v>153</v>
      </c>
      <c r="B22" s="3" t="s">
        <v>154</v>
      </c>
      <c r="C22" s="55">
        <f>SUMIF('04 Service Costs'!$A$5:$A$31,A22,'04 Service Costs'!$L$5:$L$31)+SUMIF('05 Support &amp; Income'!$A$5:$A$41,A22,'05 Support &amp; Income'!$F$5:$F$41)</f>
        <v>0</v>
      </c>
      <c r="D22" s="55">
        <f>SUMIF('06 Shared Cost Pools'!$D$21:$D$260,A22,'06 Shared Cost Pools'!$F$21:$F$260)</f>
        <v>0</v>
      </c>
      <c r="E22" s="55">
        <f>IF('07 Support Drivers'!$D$5="Two-stage finance",SUMIF('05 Support &amp; Income'!$A$5:$A$41,E$4,'05 Support &amp; Income'!$F$5:$F$41)*IF(SUMIF('08 Allocation Data'!$A$5:$A$34,$A22,'08 Allocation Data'!$L$5:$L$34)&gt;0,SUMIF('08 Allocation Data'!$A$5:$A$34,$A22,'08 Allocation Data'!$L$5:$L$34),IFERROR((1-SUM('08 Allocation Data'!$L$5:$L$34))*C22/SUMIFS($C$5:$C$34,'08 Allocation Data'!$L$5:$L$34,0),0)),IFERROR(SUMIF('05 Support &amp; Income'!$A$5:$A$41,E$4,'05 Support &amp; Income'!$F$5:$F$41)*IF('07 Support Drivers'!$D$5="Headcount",SUMIF('08 Allocation Data'!$A$5:$A$34,$A22,'08 Allocation Data'!$D$5:$D$34),IF('07 Support Drivers'!$D$5="FTE",SUMIF('08 Allocation Data'!$A$5:$A$34,$A22,'08 Allocation Data'!$E$5:$E$34),IF('07 Support Drivers'!$D$5="Floor space",SUMIF('08 Allocation Data'!$A$5:$A$34,$A22,'08 Allocation Data'!$F$5:$F$34),IF('07 Support Drivers'!$D$5="Weighted floor space",SUMIF('08 Allocation Data'!$A$5:$A$34,$A22,'08 Allocation Data'!$I$5:$I$34),IF('07 Support Drivers'!$D$5="Cleaning hours",SUMIF('08 Allocation Data'!$A$5:$A$34,$A22,'08 Allocation Data'!$J$5:$J$34),IF('07 Support Drivers'!$D$5="Meals",SUMIF('08 Allocation Data'!$A$5:$A$34,$A22,'08 Allocation Data'!$K$5:$K$34),IF('07 Support Drivers'!$D$5="Direct costs",SUMIF('08 Allocation Data'!$A$5:$A$34,$A22,'08 Allocation Data'!$M$5:$M$34),0)))))))/'07 Support Drivers'!$G$5,0))</f>
        <v>0</v>
      </c>
      <c r="F22" s="55">
        <f>IF('07 Support Drivers'!$D$6="Two-stage finance",SUMIF('05 Support &amp; Income'!$A$5:$A$41,F$4,'05 Support &amp; Income'!$F$5:$F$41)*IF(SUMIF('08 Allocation Data'!$A$5:$A$34,$A22,'08 Allocation Data'!$L$5:$L$34)&gt;0,SUMIF('08 Allocation Data'!$A$5:$A$34,$A22,'08 Allocation Data'!$L$5:$L$34),IFERROR((1-SUM('08 Allocation Data'!$L$5:$L$34))*C22/SUMIFS($C$5:$C$34,'08 Allocation Data'!$L$5:$L$34,0),0)),IFERROR(SUMIF('05 Support &amp; Income'!$A$5:$A$41,F$4,'05 Support &amp; Income'!$F$5:$F$41)*IF('07 Support Drivers'!$D$6="Headcount",SUMIF('08 Allocation Data'!$A$5:$A$34,$A22,'08 Allocation Data'!$D$5:$D$34),IF('07 Support Drivers'!$D$6="FTE",SUMIF('08 Allocation Data'!$A$5:$A$34,$A22,'08 Allocation Data'!$E$5:$E$34),IF('07 Support Drivers'!$D$6="Floor space",SUMIF('08 Allocation Data'!$A$5:$A$34,$A22,'08 Allocation Data'!$F$5:$F$34),IF('07 Support Drivers'!$D$6="Weighted floor space",SUMIF('08 Allocation Data'!$A$5:$A$34,$A22,'08 Allocation Data'!$I$5:$I$34),IF('07 Support Drivers'!$D$6="Cleaning hours",SUMIF('08 Allocation Data'!$A$5:$A$34,$A22,'08 Allocation Data'!$J$5:$J$34),IF('07 Support Drivers'!$D$6="Meals",SUMIF('08 Allocation Data'!$A$5:$A$34,$A22,'08 Allocation Data'!$K$5:$K$34),IF('07 Support Drivers'!$D$6="Direct costs",SUMIF('08 Allocation Data'!$A$5:$A$34,$A22,'08 Allocation Data'!$M$5:$M$34),0)))))))/'07 Support Drivers'!$G$6,0))</f>
        <v>0</v>
      </c>
      <c r="G22" s="55">
        <f>IF('07 Support Drivers'!$D$7="Two-stage finance",SUMIF('05 Support &amp; Income'!$A$5:$A$41,G$4,'05 Support &amp; Income'!$F$5:$F$41)*IF(SUMIF('08 Allocation Data'!$A$5:$A$34,$A22,'08 Allocation Data'!$L$5:$L$34)&gt;0,SUMIF('08 Allocation Data'!$A$5:$A$34,$A22,'08 Allocation Data'!$L$5:$L$34),IFERROR((1-SUM('08 Allocation Data'!$L$5:$L$34))*C22/SUMIFS($C$5:$C$34,'08 Allocation Data'!$L$5:$L$34,0),0)),IFERROR(SUMIF('05 Support &amp; Income'!$A$5:$A$41,G$4,'05 Support &amp; Income'!$F$5:$F$41)*IF('07 Support Drivers'!$D$7="Headcount",SUMIF('08 Allocation Data'!$A$5:$A$34,$A22,'08 Allocation Data'!$D$5:$D$34),IF('07 Support Drivers'!$D$7="FTE",SUMIF('08 Allocation Data'!$A$5:$A$34,$A22,'08 Allocation Data'!$E$5:$E$34),IF('07 Support Drivers'!$D$7="Floor space",SUMIF('08 Allocation Data'!$A$5:$A$34,$A22,'08 Allocation Data'!$F$5:$F$34),IF('07 Support Drivers'!$D$7="Weighted floor space",SUMIF('08 Allocation Data'!$A$5:$A$34,$A22,'08 Allocation Data'!$I$5:$I$34),IF('07 Support Drivers'!$D$7="Cleaning hours",SUMIF('08 Allocation Data'!$A$5:$A$34,$A22,'08 Allocation Data'!$J$5:$J$34),IF('07 Support Drivers'!$D$7="Meals",SUMIF('08 Allocation Data'!$A$5:$A$34,$A22,'08 Allocation Data'!$K$5:$K$34),IF('07 Support Drivers'!$D$7="Direct costs",SUMIF('08 Allocation Data'!$A$5:$A$34,$A22,'08 Allocation Data'!$M$5:$M$34),0)))))))/'07 Support Drivers'!$G$7,0))</f>
        <v>0</v>
      </c>
      <c r="H22" s="55">
        <f>IF('07 Support Drivers'!$D$8="Two-stage finance",SUMIF('05 Support &amp; Income'!$A$5:$A$41,H$4,'05 Support &amp; Income'!$F$5:$F$41)*IF(SUMIF('08 Allocation Data'!$A$5:$A$34,$A22,'08 Allocation Data'!$L$5:$L$34)&gt;0,SUMIF('08 Allocation Data'!$A$5:$A$34,$A22,'08 Allocation Data'!$L$5:$L$34),IFERROR((1-SUM('08 Allocation Data'!$L$5:$L$34))*C22/SUMIFS($C$5:$C$34,'08 Allocation Data'!$L$5:$L$34,0),0)),IFERROR(SUMIF('05 Support &amp; Income'!$A$5:$A$41,H$4,'05 Support &amp; Income'!$F$5:$F$41)*IF('07 Support Drivers'!$D$8="Headcount",SUMIF('08 Allocation Data'!$A$5:$A$34,$A22,'08 Allocation Data'!$D$5:$D$34),IF('07 Support Drivers'!$D$8="FTE",SUMIF('08 Allocation Data'!$A$5:$A$34,$A22,'08 Allocation Data'!$E$5:$E$34),IF('07 Support Drivers'!$D$8="Floor space",SUMIF('08 Allocation Data'!$A$5:$A$34,$A22,'08 Allocation Data'!$F$5:$F$34),IF('07 Support Drivers'!$D$8="Weighted floor space",SUMIF('08 Allocation Data'!$A$5:$A$34,$A22,'08 Allocation Data'!$I$5:$I$34),IF('07 Support Drivers'!$D$8="Cleaning hours",SUMIF('08 Allocation Data'!$A$5:$A$34,$A22,'08 Allocation Data'!$J$5:$J$34),IF('07 Support Drivers'!$D$8="Meals",SUMIF('08 Allocation Data'!$A$5:$A$34,$A22,'08 Allocation Data'!$K$5:$K$34),IF('07 Support Drivers'!$D$8="Direct costs",SUMIF('08 Allocation Data'!$A$5:$A$34,$A22,'08 Allocation Data'!$M$5:$M$34),0)))))))/'07 Support Drivers'!$G$8,0))</f>
        <v>0</v>
      </c>
      <c r="I22" s="55">
        <f>IF('07 Support Drivers'!$D$9="Two-stage finance",SUMIF('05 Support &amp; Income'!$A$5:$A$41,I$4,'05 Support &amp; Income'!$F$5:$F$41)*IF(SUMIF('08 Allocation Data'!$A$5:$A$34,$A22,'08 Allocation Data'!$L$5:$L$34)&gt;0,SUMIF('08 Allocation Data'!$A$5:$A$34,$A22,'08 Allocation Data'!$L$5:$L$34),IFERROR((1-SUM('08 Allocation Data'!$L$5:$L$34))*C22/SUMIFS($C$5:$C$34,'08 Allocation Data'!$L$5:$L$34,0),0)),IFERROR(SUMIF('05 Support &amp; Income'!$A$5:$A$41,I$4,'05 Support &amp; Income'!$F$5:$F$41)*IF('07 Support Drivers'!$D$9="Headcount",SUMIF('08 Allocation Data'!$A$5:$A$34,$A22,'08 Allocation Data'!$D$5:$D$34),IF('07 Support Drivers'!$D$9="FTE",SUMIF('08 Allocation Data'!$A$5:$A$34,$A22,'08 Allocation Data'!$E$5:$E$34),IF('07 Support Drivers'!$D$9="Floor space",SUMIF('08 Allocation Data'!$A$5:$A$34,$A22,'08 Allocation Data'!$F$5:$F$34),IF('07 Support Drivers'!$D$9="Weighted floor space",SUMIF('08 Allocation Data'!$A$5:$A$34,$A22,'08 Allocation Data'!$I$5:$I$34),IF('07 Support Drivers'!$D$9="Cleaning hours",SUMIF('08 Allocation Data'!$A$5:$A$34,$A22,'08 Allocation Data'!$J$5:$J$34),IF('07 Support Drivers'!$D$9="Meals",SUMIF('08 Allocation Data'!$A$5:$A$34,$A22,'08 Allocation Data'!$K$5:$K$34),IF('07 Support Drivers'!$D$9="Direct costs",SUMIF('08 Allocation Data'!$A$5:$A$34,$A22,'08 Allocation Data'!$M$5:$M$34),0)))))))/'07 Support Drivers'!$G$9,0))</f>
        <v>0</v>
      </c>
      <c r="J22" s="55">
        <f>IF('07 Support Drivers'!$D$10="Two-stage finance",SUMIF('05 Support &amp; Income'!$A$5:$A$41,J$4,'05 Support &amp; Income'!$F$5:$F$41)*IF(SUMIF('08 Allocation Data'!$A$5:$A$34,$A22,'08 Allocation Data'!$L$5:$L$34)&gt;0,SUMIF('08 Allocation Data'!$A$5:$A$34,$A22,'08 Allocation Data'!$L$5:$L$34),IFERROR((1-SUM('08 Allocation Data'!$L$5:$L$34))*C22/SUMIFS($C$5:$C$34,'08 Allocation Data'!$L$5:$L$34,0),0)),IFERROR(SUMIF('05 Support &amp; Income'!$A$5:$A$41,J$4,'05 Support &amp; Income'!$F$5:$F$41)*IF('07 Support Drivers'!$D$10="Headcount",SUMIF('08 Allocation Data'!$A$5:$A$34,$A22,'08 Allocation Data'!$D$5:$D$34),IF('07 Support Drivers'!$D$10="FTE",SUMIF('08 Allocation Data'!$A$5:$A$34,$A22,'08 Allocation Data'!$E$5:$E$34),IF('07 Support Drivers'!$D$10="Floor space",SUMIF('08 Allocation Data'!$A$5:$A$34,$A22,'08 Allocation Data'!$F$5:$F$34),IF('07 Support Drivers'!$D$10="Weighted floor space",SUMIF('08 Allocation Data'!$A$5:$A$34,$A22,'08 Allocation Data'!$I$5:$I$34),IF('07 Support Drivers'!$D$10="Cleaning hours",SUMIF('08 Allocation Data'!$A$5:$A$34,$A22,'08 Allocation Data'!$J$5:$J$34),IF('07 Support Drivers'!$D$10="Meals",SUMIF('08 Allocation Data'!$A$5:$A$34,$A22,'08 Allocation Data'!$K$5:$K$34),IF('07 Support Drivers'!$D$10="Direct costs",SUMIF('08 Allocation Data'!$A$5:$A$34,$A22,'08 Allocation Data'!$M$5:$M$34),0)))))))/'07 Support Drivers'!$G$10,0))</f>
        <v>0</v>
      </c>
      <c r="K22" s="55">
        <f>IF('07 Support Drivers'!$D$11="Two-stage finance",SUMIF('05 Support &amp; Income'!$A$5:$A$41,K$4,'05 Support &amp; Income'!$F$5:$F$41)*IF(SUMIF('08 Allocation Data'!$A$5:$A$34,$A22,'08 Allocation Data'!$L$5:$L$34)&gt;0,SUMIF('08 Allocation Data'!$A$5:$A$34,$A22,'08 Allocation Data'!$L$5:$L$34),IFERROR((1-SUM('08 Allocation Data'!$L$5:$L$34))*C22/SUMIFS($C$5:$C$34,'08 Allocation Data'!$L$5:$L$34,0),0)),IFERROR(SUMIF('05 Support &amp; Income'!$A$5:$A$41,K$4,'05 Support &amp; Income'!$F$5:$F$41)*IF('07 Support Drivers'!$D$11="Headcount",SUMIF('08 Allocation Data'!$A$5:$A$34,$A22,'08 Allocation Data'!$D$5:$D$34),IF('07 Support Drivers'!$D$11="FTE",SUMIF('08 Allocation Data'!$A$5:$A$34,$A22,'08 Allocation Data'!$E$5:$E$34),IF('07 Support Drivers'!$D$11="Floor space",SUMIF('08 Allocation Data'!$A$5:$A$34,$A22,'08 Allocation Data'!$F$5:$F$34),IF('07 Support Drivers'!$D$11="Weighted floor space",SUMIF('08 Allocation Data'!$A$5:$A$34,$A22,'08 Allocation Data'!$I$5:$I$34),IF('07 Support Drivers'!$D$11="Cleaning hours",SUMIF('08 Allocation Data'!$A$5:$A$34,$A22,'08 Allocation Data'!$J$5:$J$34),IF('07 Support Drivers'!$D$11="Meals",SUMIF('08 Allocation Data'!$A$5:$A$34,$A22,'08 Allocation Data'!$K$5:$K$34),IF('07 Support Drivers'!$D$11="Direct costs",SUMIF('08 Allocation Data'!$A$5:$A$34,$A22,'08 Allocation Data'!$M$5:$M$34),0)))))))/'07 Support Drivers'!$G$11,0))</f>
        <v>0</v>
      </c>
      <c r="L22" s="55">
        <f>IF('07 Support Drivers'!$D$12="Two-stage finance",SUMIF('05 Support &amp; Income'!$A$5:$A$41,L$4,'05 Support &amp; Income'!$F$5:$F$41)*IF(SUMIF('08 Allocation Data'!$A$5:$A$34,$A22,'08 Allocation Data'!$L$5:$L$34)&gt;0,SUMIF('08 Allocation Data'!$A$5:$A$34,$A22,'08 Allocation Data'!$L$5:$L$34),IFERROR((1-SUM('08 Allocation Data'!$L$5:$L$34))*C22/SUMIFS($C$5:$C$34,'08 Allocation Data'!$L$5:$L$34,0),0)),IFERROR(SUMIF('05 Support &amp; Income'!$A$5:$A$41,L$4,'05 Support &amp; Income'!$F$5:$F$41)*IF('07 Support Drivers'!$D$12="Headcount",SUMIF('08 Allocation Data'!$A$5:$A$34,$A22,'08 Allocation Data'!$D$5:$D$34),IF('07 Support Drivers'!$D$12="FTE",SUMIF('08 Allocation Data'!$A$5:$A$34,$A22,'08 Allocation Data'!$E$5:$E$34),IF('07 Support Drivers'!$D$12="Floor space",SUMIF('08 Allocation Data'!$A$5:$A$34,$A22,'08 Allocation Data'!$F$5:$F$34),IF('07 Support Drivers'!$D$12="Weighted floor space",SUMIF('08 Allocation Data'!$A$5:$A$34,$A22,'08 Allocation Data'!$I$5:$I$34),IF('07 Support Drivers'!$D$12="Cleaning hours",SUMIF('08 Allocation Data'!$A$5:$A$34,$A22,'08 Allocation Data'!$J$5:$J$34),IF('07 Support Drivers'!$D$12="Meals",SUMIF('08 Allocation Data'!$A$5:$A$34,$A22,'08 Allocation Data'!$K$5:$K$34),IF('07 Support Drivers'!$D$12="Direct costs",SUMIF('08 Allocation Data'!$A$5:$A$34,$A22,'08 Allocation Data'!$M$5:$M$34),0)))))))/'07 Support Drivers'!$G$12,0))</f>
        <v>0</v>
      </c>
      <c r="M22" s="55">
        <f>IF('07 Support Drivers'!$D$13="Two-stage finance",SUMIF('05 Support &amp; Income'!$A$5:$A$41,M$4,'05 Support &amp; Income'!$F$5:$F$41)*IF(SUMIF('08 Allocation Data'!$A$5:$A$34,$A22,'08 Allocation Data'!$L$5:$L$34)&gt;0,SUMIF('08 Allocation Data'!$A$5:$A$34,$A22,'08 Allocation Data'!$L$5:$L$34),IFERROR((1-SUM('08 Allocation Data'!$L$5:$L$34))*C22/SUMIFS($C$5:$C$34,'08 Allocation Data'!$L$5:$L$34,0),0)),IFERROR(SUMIF('05 Support &amp; Income'!$A$5:$A$41,M$4,'05 Support &amp; Income'!$F$5:$F$41)*IF('07 Support Drivers'!$D$13="Headcount",SUMIF('08 Allocation Data'!$A$5:$A$34,$A22,'08 Allocation Data'!$D$5:$D$34),IF('07 Support Drivers'!$D$13="FTE",SUMIF('08 Allocation Data'!$A$5:$A$34,$A22,'08 Allocation Data'!$E$5:$E$34),IF('07 Support Drivers'!$D$13="Floor space",SUMIF('08 Allocation Data'!$A$5:$A$34,$A22,'08 Allocation Data'!$F$5:$F$34),IF('07 Support Drivers'!$D$13="Weighted floor space",SUMIF('08 Allocation Data'!$A$5:$A$34,$A22,'08 Allocation Data'!$I$5:$I$34),IF('07 Support Drivers'!$D$13="Cleaning hours",SUMIF('08 Allocation Data'!$A$5:$A$34,$A22,'08 Allocation Data'!$J$5:$J$34),IF('07 Support Drivers'!$D$13="Meals",SUMIF('08 Allocation Data'!$A$5:$A$34,$A22,'08 Allocation Data'!$K$5:$K$34),IF('07 Support Drivers'!$D$13="Direct costs",SUMIF('08 Allocation Data'!$A$5:$A$34,$A22,'08 Allocation Data'!$M$5:$M$34),0)))))))/'07 Support Drivers'!$G$13,0))</f>
        <v>0</v>
      </c>
      <c r="N22" s="55">
        <f>IF('07 Support Drivers'!$D$14="Two-stage finance",SUMIF('05 Support &amp; Income'!$A$5:$A$41,N$4,'05 Support &amp; Income'!$F$5:$F$41)*IF(SUMIF('08 Allocation Data'!$A$5:$A$34,$A22,'08 Allocation Data'!$L$5:$L$34)&gt;0,SUMIF('08 Allocation Data'!$A$5:$A$34,$A22,'08 Allocation Data'!$L$5:$L$34),IFERROR((1-SUM('08 Allocation Data'!$L$5:$L$34))*C22/SUMIFS($C$5:$C$34,'08 Allocation Data'!$L$5:$L$34,0),0)),IFERROR(SUMIF('05 Support &amp; Income'!$A$5:$A$41,N$4,'05 Support &amp; Income'!$F$5:$F$41)*IF('07 Support Drivers'!$D$14="Headcount",SUMIF('08 Allocation Data'!$A$5:$A$34,$A22,'08 Allocation Data'!$D$5:$D$34),IF('07 Support Drivers'!$D$14="FTE",SUMIF('08 Allocation Data'!$A$5:$A$34,$A22,'08 Allocation Data'!$E$5:$E$34),IF('07 Support Drivers'!$D$14="Floor space",SUMIF('08 Allocation Data'!$A$5:$A$34,$A22,'08 Allocation Data'!$F$5:$F$34),IF('07 Support Drivers'!$D$14="Weighted floor space",SUMIF('08 Allocation Data'!$A$5:$A$34,$A22,'08 Allocation Data'!$I$5:$I$34),IF('07 Support Drivers'!$D$14="Cleaning hours",SUMIF('08 Allocation Data'!$A$5:$A$34,$A22,'08 Allocation Data'!$J$5:$J$34),IF('07 Support Drivers'!$D$14="Meals",SUMIF('08 Allocation Data'!$A$5:$A$34,$A22,'08 Allocation Data'!$K$5:$K$34),IF('07 Support Drivers'!$D$14="Direct costs",SUMIF('08 Allocation Data'!$A$5:$A$34,$A22,'08 Allocation Data'!$M$5:$M$34),0)))))))/'07 Support Drivers'!$G$14,0))</f>
        <v>0</v>
      </c>
      <c r="O22" s="55">
        <f>IF('07 Support Drivers'!$D$15="Two-stage finance",SUMIF('05 Support &amp; Income'!$A$5:$A$41,O$4,'05 Support &amp; Income'!$F$5:$F$41)*IF(SUMIF('08 Allocation Data'!$A$5:$A$34,$A22,'08 Allocation Data'!$L$5:$L$34)&gt;0,SUMIF('08 Allocation Data'!$A$5:$A$34,$A22,'08 Allocation Data'!$L$5:$L$34),IFERROR((1-SUM('08 Allocation Data'!$L$5:$L$34))*C22/SUMIFS($C$5:$C$34,'08 Allocation Data'!$L$5:$L$34,0),0)),IFERROR(SUMIF('05 Support &amp; Income'!$A$5:$A$41,O$4,'05 Support &amp; Income'!$F$5:$F$41)*IF('07 Support Drivers'!$D$15="Headcount",SUMIF('08 Allocation Data'!$A$5:$A$34,$A22,'08 Allocation Data'!$D$5:$D$34),IF('07 Support Drivers'!$D$15="FTE",SUMIF('08 Allocation Data'!$A$5:$A$34,$A22,'08 Allocation Data'!$E$5:$E$34),IF('07 Support Drivers'!$D$15="Floor space",SUMIF('08 Allocation Data'!$A$5:$A$34,$A22,'08 Allocation Data'!$F$5:$F$34),IF('07 Support Drivers'!$D$15="Weighted floor space",SUMIF('08 Allocation Data'!$A$5:$A$34,$A22,'08 Allocation Data'!$I$5:$I$34),IF('07 Support Drivers'!$D$15="Cleaning hours",SUMIF('08 Allocation Data'!$A$5:$A$34,$A22,'08 Allocation Data'!$J$5:$J$34),IF('07 Support Drivers'!$D$15="Meals",SUMIF('08 Allocation Data'!$A$5:$A$34,$A22,'08 Allocation Data'!$K$5:$K$34),IF('07 Support Drivers'!$D$15="Direct costs",SUMIF('08 Allocation Data'!$A$5:$A$34,$A22,'08 Allocation Data'!$M$5:$M$34),0)))))))/'07 Support Drivers'!$G$15,0))</f>
        <v>0</v>
      </c>
      <c r="P22" s="55">
        <f>IF('07 Support Drivers'!$D$16="Two-stage finance",SUMIF('05 Support &amp; Income'!$A$5:$A$41,P$4,'05 Support &amp; Income'!$F$5:$F$41)*IF(SUMIF('08 Allocation Data'!$A$5:$A$34,$A22,'08 Allocation Data'!$L$5:$L$34)&gt;0,SUMIF('08 Allocation Data'!$A$5:$A$34,$A22,'08 Allocation Data'!$L$5:$L$34),IFERROR((1-SUM('08 Allocation Data'!$L$5:$L$34))*C22/SUMIFS($C$5:$C$34,'08 Allocation Data'!$L$5:$L$34,0),0)),IFERROR(SUMIF('05 Support &amp; Income'!$A$5:$A$41,P$4,'05 Support &amp; Income'!$F$5:$F$41)*IF('07 Support Drivers'!$D$16="Headcount",SUMIF('08 Allocation Data'!$A$5:$A$34,$A22,'08 Allocation Data'!$D$5:$D$34),IF('07 Support Drivers'!$D$16="FTE",SUMIF('08 Allocation Data'!$A$5:$A$34,$A22,'08 Allocation Data'!$E$5:$E$34),IF('07 Support Drivers'!$D$16="Floor space",SUMIF('08 Allocation Data'!$A$5:$A$34,$A22,'08 Allocation Data'!$F$5:$F$34),IF('07 Support Drivers'!$D$16="Weighted floor space",SUMIF('08 Allocation Data'!$A$5:$A$34,$A22,'08 Allocation Data'!$I$5:$I$34),IF('07 Support Drivers'!$D$16="Cleaning hours",SUMIF('08 Allocation Data'!$A$5:$A$34,$A22,'08 Allocation Data'!$J$5:$J$34),IF('07 Support Drivers'!$D$16="Meals",SUMIF('08 Allocation Data'!$A$5:$A$34,$A22,'08 Allocation Data'!$K$5:$K$34),IF('07 Support Drivers'!$D$16="Direct costs",SUMIF('08 Allocation Data'!$A$5:$A$34,$A22,'08 Allocation Data'!$M$5:$M$34),0)))))))/'07 Support Drivers'!$G$16,0))</f>
        <v>0</v>
      </c>
      <c r="Q22" s="55">
        <f>IF('07 Support Drivers'!$D$17="Two-stage finance",SUMIF('05 Support &amp; Income'!$A$5:$A$41,Q$4,'05 Support &amp; Income'!$F$5:$F$41)*IF(SUMIF('08 Allocation Data'!$A$5:$A$34,$A22,'08 Allocation Data'!$L$5:$L$34)&gt;0,SUMIF('08 Allocation Data'!$A$5:$A$34,$A22,'08 Allocation Data'!$L$5:$L$34),IFERROR((1-SUM('08 Allocation Data'!$L$5:$L$34))*C22/SUMIFS($C$5:$C$34,'08 Allocation Data'!$L$5:$L$34,0),0)),IFERROR(SUMIF('05 Support &amp; Income'!$A$5:$A$41,Q$4,'05 Support &amp; Income'!$F$5:$F$41)*IF('07 Support Drivers'!$D$17="Headcount",SUMIF('08 Allocation Data'!$A$5:$A$34,$A22,'08 Allocation Data'!$D$5:$D$34),IF('07 Support Drivers'!$D$17="FTE",SUMIF('08 Allocation Data'!$A$5:$A$34,$A22,'08 Allocation Data'!$E$5:$E$34),IF('07 Support Drivers'!$D$17="Floor space",SUMIF('08 Allocation Data'!$A$5:$A$34,$A22,'08 Allocation Data'!$F$5:$F$34),IF('07 Support Drivers'!$D$17="Weighted floor space",SUMIF('08 Allocation Data'!$A$5:$A$34,$A22,'08 Allocation Data'!$I$5:$I$34),IF('07 Support Drivers'!$D$17="Cleaning hours",SUMIF('08 Allocation Data'!$A$5:$A$34,$A22,'08 Allocation Data'!$J$5:$J$34),IF('07 Support Drivers'!$D$17="Meals",SUMIF('08 Allocation Data'!$A$5:$A$34,$A22,'08 Allocation Data'!$K$5:$K$34),IF('07 Support Drivers'!$D$17="Direct costs",SUMIF('08 Allocation Data'!$A$5:$A$34,$A22,'08 Allocation Data'!$M$5:$M$34),0)))))))/'07 Support Drivers'!$G$17,0))</f>
        <v>0</v>
      </c>
      <c r="R22" s="48">
        <f t="shared" si="0"/>
        <v>0</v>
      </c>
      <c r="S22" s="48">
        <f>SUMIF('04 Service Costs'!$A$5:$A$31,A22,'04 Service Costs'!$M$5:$M$31)+SUMIF('06 Shared Cost Pools'!$D$21:$D$260,A22,'06 Shared Cost Pools'!$I$21:$I$260)</f>
        <v>0</v>
      </c>
      <c r="T22" s="48">
        <f>SUMIF('04 Service Costs'!$A$5:$A$31,A22,'04 Service Costs'!$N$5:$N$31)+SUMIF('06 Shared Cost Pools'!$D$21:$D$260,A22,'06 Shared Cost Pools'!$J$21:$J$260)</f>
        <v>0</v>
      </c>
      <c r="U22" s="48">
        <f>SUMIF('04 Service Costs'!$A$5:$A$31,A22,'04 Service Costs'!$O$5:$O$31)+SUMIF('06 Shared Cost Pools'!$D$21:$D$260,A22,'06 Shared Cost Pools'!$K$21:$K$260)</f>
        <v>0</v>
      </c>
      <c r="V22" s="48">
        <f t="shared" si="1"/>
        <v>0</v>
      </c>
    </row>
    <row r="23" spans="1:22">
      <c r="A23" s="3" t="s">
        <v>155</v>
      </c>
      <c r="B23" s="3" t="s">
        <v>121</v>
      </c>
      <c r="C23" s="55">
        <f>SUMIF('04 Service Costs'!$A$5:$A$31,A23,'04 Service Costs'!$L$5:$L$31)+SUMIF('05 Support &amp; Income'!$A$5:$A$41,A23,'05 Support &amp; Income'!$F$5:$F$41)</f>
        <v>0</v>
      </c>
      <c r="D23" s="55">
        <f>SUMIF('06 Shared Cost Pools'!$D$21:$D$260,A23,'06 Shared Cost Pools'!$F$21:$F$260)</f>
        <v>0</v>
      </c>
      <c r="E23" s="55">
        <f>IF('07 Support Drivers'!$D$5="Two-stage finance",SUMIF('05 Support &amp; Income'!$A$5:$A$41,E$4,'05 Support &amp; Income'!$F$5:$F$41)*IF(SUMIF('08 Allocation Data'!$A$5:$A$34,$A23,'08 Allocation Data'!$L$5:$L$34)&gt;0,SUMIF('08 Allocation Data'!$A$5:$A$34,$A23,'08 Allocation Data'!$L$5:$L$34),IFERROR((1-SUM('08 Allocation Data'!$L$5:$L$34))*C23/SUMIFS($C$5:$C$34,'08 Allocation Data'!$L$5:$L$34,0),0)),IFERROR(SUMIF('05 Support &amp; Income'!$A$5:$A$41,E$4,'05 Support &amp; Income'!$F$5:$F$41)*IF('07 Support Drivers'!$D$5="Headcount",SUMIF('08 Allocation Data'!$A$5:$A$34,$A23,'08 Allocation Data'!$D$5:$D$34),IF('07 Support Drivers'!$D$5="FTE",SUMIF('08 Allocation Data'!$A$5:$A$34,$A23,'08 Allocation Data'!$E$5:$E$34),IF('07 Support Drivers'!$D$5="Floor space",SUMIF('08 Allocation Data'!$A$5:$A$34,$A23,'08 Allocation Data'!$F$5:$F$34),IF('07 Support Drivers'!$D$5="Weighted floor space",SUMIF('08 Allocation Data'!$A$5:$A$34,$A23,'08 Allocation Data'!$I$5:$I$34),IF('07 Support Drivers'!$D$5="Cleaning hours",SUMIF('08 Allocation Data'!$A$5:$A$34,$A23,'08 Allocation Data'!$J$5:$J$34),IF('07 Support Drivers'!$D$5="Meals",SUMIF('08 Allocation Data'!$A$5:$A$34,$A23,'08 Allocation Data'!$K$5:$K$34),IF('07 Support Drivers'!$D$5="Direct costs",SUMIF('08 Allocation Data'!$A$5:$A$34,$A23,'08 Allocation Data'!$M$5:$M$34),0)))))))/'07 Support Drivers'!$G$5,0))</f>
        <v>0</v>
      </c>
      <c r="F23" s="55">
        <f>IF('07 Support Drivers'!$D$6="Two-stage finance",SUMIF('05 Support &amp; Income'!$A$5:$A$41,F$4,'05 Support &amp; Income'!$F$5:$F$41)*IF(SUMIF('08 Allocation Data'!$A$5:$A$34,$A23,'08 Allocation Data'!$L$5:$L$34)&gt;0,SUMIF('08 Allocation Data'!$A$5:$A$34,$A23,'08 Allocation Data'!$L$5:$L$34),IFERROR((1-SUM('08 Allocation Data'!$L$5:$L$34))*C23/SUMIFS($C$5:$C$34,'08 Allocation Data'!$L$5:$L$34,0),0)),IFERROR(SUMIF('05 Support &amp; Income'!$A$5:$A$41,F$4,'05 Support &amp; Income'!$F$5:$F$41)*IF('07 Support Drivers'!$D$6="Headcount",SUMIF('08 Allocation Data'!$A$5:$A$34,$A23,'08 Allocation Data'!$D$5:$D$34),IF('07 Support Drivers'!$D$6="FTE",SUMIF('08 Allocation Data'!$A$5:$A$34,$A23,'08 Allocation Data'!$E$5:$E$34),IF('07 Support Drivers'!$D$6="Floor space",SUMIF('08 Allocation Data'!$A$5:$A$34,$A23,'08 Allocation Data'!$F$5:$F$34),IF('07 Support Drivers'!$D$6="Weighted floor space",SUMIF('08 Allocation Data'!$A$5:$A$34,$A23,'08 Allocation Data'!$I$5:$I$34),IF('07 Support Drivers'!$D$6="Cleaning hours",SUMIF('08 Allocation Data'!$A$5:$A$34,$A23,'08 Allocation Data'!$J$5:$J$34),IF('07 Support Drivers'!$D$6="Meals",SUMIF('08 Allocation Data'!$A$5:$A$34,$A23,'08 Allocation Data'!$K$5:$K$34),IF('07 Support Drivers'!$D$6="Direct costs",SUMIF('08 Allocation Data'!$A$5:$A$34,$A23,'08 Allocation Data'!$M$5:$M$34),0)))))))/'07 Support Drivers'!$G$6,0))</f>
        <v>0</v>
      </c>
      <c r="G23" s="55">
        <f>IF('07 Support Drivers'!$D$7="Two-stage finance",SUMIF('05 Support &amp; Income'!$A$5:$A$41,G$4,'05 Support &amp; Income'!$F$5:$F$41)*IF(SUMIF('08 Allocation Data'!$A$5:$A$34,$A23,'08 Allocation Data'!$L$5:$L$34)&gt;0,SUMIF('08 Allocation Data'!$A$5:$A$34,$A23,'08 Allocation Data'!$L$5:$L$34),IFERROR((1-SUM('08 Allocation Data'!$L$5:$L$34))*C23/SUMIFS($C$5:$C$34,'08 Allocation Data'!$L$5:$L$34,0),0)),IFERROR(SUMIF('05 Support &amp; Income'!$A$5:$A$41,G$4,'05 Support &amp; Income'!$F$5:$F$41)*IF('07 Support Drivers'!$D$7="Headcount",SUMIF('08 Allocation Data'!$A$5:$A$34,$A23,'08 Allocation Data'!$D$5:$D$34),IF('07 Support Drivers'!$D$7="FTE",SUMIF('08 Allocation Data'!$A$5:$A$34,$A23,'08 Allocation Data'!$E$5:$E$34),IF('07 Support Drivers'!$D$7="Floor space",SUMIF('08 Allocation Data'!$A$5:$A$34,$A23,'08 Allocation Data'!$F$5:$F$34),IF('07 Support Drivers'!$D$7="Weighted floor space",SUMIF('08 Allocation Data'!$A$5:$A$34,$A23,'08 Allocation Data'!$I$5:$I$34),IF('07 Support Drivers'!$D$7="Cleaning hours",SUMIF('08 Allocation Data'!$A$5:$A$34,$A23,'08 Allocation Data'!$J$5:$J$34),IF('07 Support Drivers'!$D$7="Meals",SUMIF('08 Allocation Data'!$A$5:$A$34,$A23,'08 Allocation Data'!$K$5:$K$34),IF('07 Support Drivers'!$D$7="Direct costs",SUMIF('08 Allocation Data'!$A$5:$A$34,$A23,'08 Allocation Data'!$M$5:$M$34),0)))))))/'07 Support Drivers'!$G$7,0))</f>
        <v>0</v>
      </c>
      <c r="H23" s="55">
        <f>IF('07 Support Drivers'!$D$8="Two-stage finance",SUMIF('05 Support &amp; Income'!$A$5:$A$41,H$4,'05 Support &amp; Income'!$F$5:$F$41)*IF(SUMIF('08 Allocation Data'!$A$5:$A$34,$A23,'08 Allocation Data'!$L$5:$L$34)&gt;0,SUMIF('08 Allocation Data'!$A$5:$A$34,$A23,'08 Allocation Data'!$L$5:$L$34),IFERROR((1-SUM('08 Allocation Data'!$L$5:$L$34))*C23/SUMIFS($C$5:$C$34,'08 Allocation Data'!$L$5:$L$34,0),0)),IFERROR(SUMIF('05 Support &amp; Income'!$A$5:$A$41,H$4,'05 Support &amp; Income'!$F$5:$F$41)*IF('07 Support Drivers'!$D$8="Headcount",SUMIF('08 Allocation Data'!$A$5:$A$34,$A23,'08 Allocation Data'!$D$5:$D$34),IF('07 Support Drivers'!$D$8="FTE",SUMIF('08 Allocation Data'!$A$5:$A$34,$A23,'08 Allocation Data'!$E$5:$E$34),IF('07 Support Drivers'!$D$8="Floor space",SUMIF('08 Allocation Data'!$A$5:$A$34,$A23,'08 Allocation Data'!$F$5:$F$34),IF('07 Support Drivers'!$D$8="Weighted floor space",SUMIF('08 Allocation Data'!$A$5:$A$34,$A23,'08 Allocation Data'!$I$5:$I$34),IF('07 Support Drivers'!$D$8="Cleaning hours",SUMIF('08 Allocation Data'!$A$5:$A$34,$A23,'08 Allocation Data'!$J$5:$J$34),IF('07 Support Drivers'!$D$8="Meals",SUMIF('08 Allocation Data'!$A$5:$A$34,$A23,'08 Allocation Data'!$K$5:$K$34),IF('07 Support Drivers'!$D$8="Direct costs",SUMIF('08 Allocation Data'!$A$5:$A$34,$A23,'08 Allocation Data'!$M$5:$M$34),0)))))))/'07 Support Drivers'!$G$8,0))</f>
        <v>0</v>
      </c>
      <c r="I23" s="55">
        <f>IF('07 Support Drivers'!$D$9="Two-stage finance",SUMIF('05 Support &amp; Income'!$A$5:$A$41,I$4,'05 Support &amp; Income'!$F$5:$F$41)*IF(SUMIF('08 Allocation Data'!$A$5:$A$34,$A23,'08 Allocation Data'!$L$5:$L$34)&gt;0,SUMIF('08 Allocation Data'!$A$5:$A$34,$A23,'08 Allocation Data'!$L$5:$L$34),IFERROR((1-SUM('08 Allocation Data'!$L$5:$L$34))*C23/SUMIFS($C$5:$C$34,'08 Allocation Data'!$L$5:$L$34,0),0)),IFERROR(SUMIF('05 Support &amp; Income'!$A$5:$A$41,I$4,'05 Support &amp; Income'!$F$5:$F$41)*IF('07 Support Drivers'!$D$9="Headcount",SUMIF('08 Allocation Data'!$A$5:$A$34,$A23,'08 Allocation Data'!$D$5:$D$34),IF('07 Support Drivers'!$D$9="FTE",SUMIF('08 Allocation Data'!$A$5:$A$34,$A23,'08 Allocation Data'!$E$5:$E$34),IF('07 Support Drivers'!$D$9="Floor space",SUMIF('08 Allocation Data'!$A$5:$A$34,$A23,'08 Allocation Data'!$F$5:$F$34),IF('07 Support Drivers'!$D$9="Weighted floor space",SUMIF('08 Allocation Data'!$A$5:$A$34,$A23,'08 Allocation Data'!$I$5:$I$34),IF('07 Support Drivers'!$D$9="Cleaning hours",SUMIF('08 Allocation Data'!$A$5:$A$34,$A23,'08 Allocation Data'!$J$5:$J$34),IF('07 Support Drivers'!$D$9="Meals",SUMIF('08 Allocation Data'!$A$5:$A$34,$A23,'08 Allocation Data'!$K$5:$K$34),IF('07 Support Drivers'!$D$9="Direct costs",SUMIF('08 Allocation Data'!$A$5:$A$34,$A23,'08 Allocation Data'!$M$5:$M$34),0)))))))/'07 Support Drivers'!$G$9,0))</f>
        <v>0</v>
      </c>
      <c r="J23" s="55">
        <f>IF('07 Support Drivers'!$D$10="Two-stage finance",SUMIF('05 Support &amp; Income'!$A$5:$A$41,J$4,'05 Support &amp; Income'!$F$5:$F$41)*IF(SUMIF('08 Allocation Data'!$A$5:$A$34,$A23,'08 Allocation Data'!$L$5:$L$34)&gt;0,SUMIF('08 Allocation Data'!$A$5:$A$34,$A23,'08 Allocation Data'!$L$5:$L$34),IFERROR((1-SUM('08 Allocation Data'!$L$5:$L$34))*C23/SUMIFS($C$5:$C$34,'08 Allocation Data'!$L$5:$L$34,0),0)),IFERROR(SUMIF('05 Support &amp; Income'!$A$5:$A$41,J$4,'05 Support &amp; Income'!$F$5:$F$41)*IF('07 Support Drivers'!$D$10="Headcount",SUMIF('08 Allocation Data'!$A$5:$A$34,$A23,'08 Allocation Data'!$D$5:$D$34),IF('07 Support Drivers'!$D$10="FTE",SUMIF('08 Allocation Data'!$A$5:$A$34,$A23,'08 Allocation Data'!$E$5:$E$34),IF('07 Support Drivers'!$D$10="Floor space",SUMIF('08 Allocation Data'!$A$5:$A$34,$A23,'08 Allocation Data'!$F$5:$F$34),IF('07 Support Drivers'!$D$10="Weighted floor space",SUMIF('08 Allocation Data'!$A$5:$A$34,$A23,'08 Allocation Data'!$I$5:$I$34),IF('07 Support Drivers'!$D$10="Cleaning hours",SUMIF('08 Allocation Data'!$A$5:$A$34,$A23,'08 Allocation Data'!$J$5:$J$34),IF('07 Support Drivers'!$D$10="Meals",SUMIF('08 Allocation Data'!$A$5:$A$34,$A23,'08 Allocation Data'!$K$5:$K$34),IF('07 Support Drivers'!$D$10="Direct costs",SUMIF('08 Allocation Data'!$A$5:$A$34,$A23,'08 Allocation Data'!$M$5:$M$34),0)))))))/'07 Support Drivers'!$G$10,0))</f>
        <v>0</v>
      </c>
      <c r="K23" s="55">
        <f>IF('07 Support Drivers'!$D$11="Two-stage finance",SUMIF('05 Support &amp; Income'!$A$5:$A$41,K$4,'05 Support &amp; Income'!$F$5:$F$41)*IF(SUMIF('08 Allocation Data'!$A$5:$A$34,$A23,'08 Allocation Data'!$L$5:$L$34)&gt;0,SUMIF('08 Allocation Data'!$A$5:$A$34,$A23,'08 Allocation Data'!$L$5:$L$34),IFERROR((1-SUM('08 Allocation Data'!$L$5:$L$34))*C23/SUMIFS($C$5:$C$34,'08 Allocation Data'!$L$5:$L$34,0),0)),IFERROR(SUMIF('05 Support &amp; Income'!$A$5:$A$41,K$4,'05 Support &amp; Income'!$F$5:$F$41)*IF('07 Support Drivers'!$D$11="Headcount",SUMIF('08 Allocation Data'!$A$5:$A$34,$A23,'08 Allocation Data'!$D$5:$D$34),IF('07 Support Drivers'!$D$11="FTE",SUMIF('08 Allocation Data'!$A$5:$A$34,$A23,'08 Allocation Data'!$E$5:$E$34),IF('07 Support Drivers'!$D$11="Floor space",SUMIF('08 Allocation Data'!$A$5:$A$34,$A23,'08 Allocation Data'!$F$5:$F$34),IF('07 Support Drivers'!$D$11="Weighted floor space",SUMIF('08 Allocation Data'!$A$5:$A$34,$A23,'08 Allocation Data'!$I$5:$I$34),IF('07 Support Drivers'!$D$11="Cleaning hours",SUMIF('08 Allocation Data'!$A$5:$A$34,$A23,'08 Allocation Data'!$J$5:$J$34),IF('07 Support Drivers'!$D$11="Meals",SUMIF('08 Allocation Data'!$A$5:$A$34,$A23,'08 Allocation Data'!$K$5:$K$34),IF('07 Support Drivers'!$D$11="Direct costs",SUMIF('08 Allocation Data'!$A$5:$A$34,$A23,'08 Allocation Data'!$M$5:$M$34),0)))))))/'07 Support Drivers'!$G$11,0))</f>
        <v>0</v>
      </c>
      <c r="L23" s="55">
        <f>IF('07 Support Drivers'!$D$12="Two-stage finance",SUMIF('05 Support &amp; Income'!$A$5:$A$41,L$4,'05 Support &amp; Income'!$F$5:$F$41)*IF(SUMIF('08 Allocation Data'!$A$5:$A$34,$A23,'08 Allocation Data'!$L$5:$L$34)&gt;0,SUMIF('08 Allocation Data'!$A$5:$A$34,$A23,'08 Allocation Data'!$L$5:$L$34),IFERROR((1-SUM('08 Allocation Data'!$L$5:$L$34))*C23/SUMIFS($C$5:$C$34,'08 Allocation Data'!$L$5:$L$34,0),0)),IFERROR(SUMIF('05 Support &amp; Income'!$A$5:$A$41,L$4,'05 Support &amp; Income'!$F$5:$F$41)*IF('07 Support Drivers'!$D$12="Headcount",SUMIF('08 Allocation Data'!$A$5:$A$34,$A23,'08 Allocation Data'!$D$5:$D$34),IF('07 Support Drivers'!$D$12="FTE",SUMIF('08 Allocation Data'!$A$5:$A$34,$A23,'08 Allocation Data'!$E$5:$E$34),IF('07 Support Drivers'!$D$12="Floor space",SUMIF('08 Allocation Data'!$A$5:$A$34,$A23,'08 Allocation Data'!$F$5:$F$34),IF('07 Support Drivers'!$D$12="Weighted floor space",SUMIF('08 Allocation Data'!$A$5:$A$34,$A23,'08 Allocation Data'!$I$5:$I$34),IF('07 Support Drivers'!$D$12="Cleaning hours",SUMIF('08 Allocation Data'!$A$5:$A$34,$A23,'08 Allocation Data'!$J$5:$J$34),IF('07 Support Drivers'!$D$12="Meals",SUMIF('08 Allocation Data'!$A$5:$A$34,$A23,'08 Allocation Data'!$K$5:$K$34),IF('07 Support Drivers'!$D$12="Direct costs",SUMIF('08 Allocation Data'!$A$5:$A$34,$A23,'08 Allocation Data'!$M$5:$M$34),0)))))))/'07 Support Drivers'!$G$12,0))</f>
        <v>0</v>
      </c>
      <c r="M23" s="55">
        <f>IF('07 Support Drivers'!$D$13="Two-stage finance",SUMIF('05 Support &amp; Income'!$A$5:$A$41,M$4,'05 Support &amp; Income'!$F$5:$F$41)*IF(SUMIF('08 Allocation Data'!$A$5:$A$34,$A23,'08 Allocation Data'!$L$5:$L$34)&gt;0,SUMIF('08 Allocation Data'!$A$5:$A$34,$A23,'08 Allocation Data'!$L$5:$L$34),IFERROR((1-SUM('08 Allocation Data'!$L$5:$L$34))*C23/SUMIFS($C$5:$C$34,'08 Allocation Data'!$L$5:$L$34,0),0)),IFERROR(SUMIF('05 Support &amp; Income'!$A$5:$A$41,M$4,'05 Support &amp; Income'!$F$5:$F$41)*IF('07 Support Drivers'!$D$13="Headcount",SUMIF('08 Allocation Data'!$A$5:$A$34,$A23,'08 Allocation Data'!$D$5:$D$34),IF('07 Support Drivers'!$D$13="FTE",SUMIF('08 Allocation Data'!$A$5:$A$34,$A23,'08 Allocation Data'!$E$5:$E$34),IF('07 Support Drivers'!$D$13="Floor space",SUMIF('08 Allocation Data'!$A$5:$A$34,$A23,'08 Allocation Data'!$F$5:$F$34),IF('07 Support Drivers'!$D$13="Weighted floor space",SUMIF('08 Allocation Data'!$A$5:$A$34,$A23,'08 Allocation Data'!$I$5:$I$34),IF('07 Support Drivers'!$D$13="Cleaning hours",SUMIF('08 Allocation Data'!$A$5:$A$34,$A23,'08 Allocation Data'!$J$5:$J$34),IF('07 Support Drivers'!$D$13="Meals",SUMIF('08 Allocation Data'!$A$5:$A$34,$A23,'08 Allocation Data'!$K$5:$K$34),IF('07 Support Drivers'!$D$13="Direct costs",SUMIF('08 Allocation Data'!$A$5:$A$34,$A23,'08 Allocation Data'!$M$5:$M$34),0)))))))/'07 Support Drivers'!$G$13,0))</f>
        <v>0</v>
      </c>
      <c r="N23" s="55">
        <f>IF('07 Support Drivers'!$D$14="Two-stage finance",SUMIF('05 Support &amp; Income'!$A$5:$A$41,N$4,'05 Support &amp; Income'!$F$5:$F$41)*IF(SUMIF('08 Allocation Data'!$A$5:$A$34,$A23,'08 Allocation Data'!$L$5:$L$34)&gt;0,SUMIF('08 Allocation Data'!$A$5:$A$34,$A23,'08 Allocation Data'!$L$5:$L$34),IFERROR((1-SUM('08 Allocation Data'!$L$5:$L$34))*C23/SUMIFS($C$5:$C$34,'08 Allocation Data'!$L$5:$L$34,0),0)),IFERROR(SUMIF('05 Support &amp; Income'!$A$5:$A$41,N$4,'05 Support &amp; Income'!$F$5:$F$41)*IF('07 Support Drivers'!$D$14="Headcount",SUMIF('08 Allocation Data'!$A$5:$A$34,$A23,'08 Allocation Data'!$D$5:$D$34),IF('07 Support Drivers'!$D$14="FTE",SUMIF('08 Allocation Data'!$A$5:$A$34,$A23,'08 Allocation Data'!$E$5:$E$34),IF('07 Support Drivers'!$D$14="Floor space",SUMIF('08 Allocation Data'!$A$5:$A$34,$A23,'08 Allocation Data'!$F$5:$F$34),IF('07 Support Drivers'!$D$14="Weighted floor space",SUMIF('08 Allocation Data'!$A$5:$A$34,$A23,'08 Allocation Data'!$I$5:$I$34),IF('07 Support Drivers'!$D$14="Cleaning hours",SUMIF('08 Allocation Data'!$A$5:$A$34,$A23,'08 Allocation Data'!$J$5:$J$34),IF('07 Support Drivers'!$D$14="Meals",SUMIF('08 Allocation Data'!$A$5:$A$34,$A23,'08 Allocation Data'!$K$5:$K$34),IF('07 Support Drivers'!$D$14="Direct costs",SUMIF('08 Allocation Data'!$A$5:$A$34,$A23,'08 Allocation Data'!$M$5:$M$34),0)))))))/'07 Support Drivers'!$G$14,0))</f>
        <v>0</v>
      </c>
      <c r="O23" s="55">
        <f>IF('07 Support Drivers'!$D$15="Two-stage finance",SUMIF('05 Support &amp; Income'!$A$5:$A$41,O$4,'05 Support &amp; Income'!$F$5:$F$41)*IF(SUMIF('08 Allocation Data'!$A$5:$A$34,$A23,'08 Allocation Data'!$L$5:$L$34)&gt;0,SUMIF('08 Allocation Data'!$A$5:$A$34,$A23,'08 Allocation Data'!$L$5:$L$34),IFERROR((1-SUM('08 Allocation Data'!$L$5:$L$34))*C23/SUMIFS($C$5:$C$34,'08 Allocation Data'!$L$5:$L$34,0),0)),IFERROR(SUMIF('05 Support &amp; Income'!$A$5:$A$41,O$4,'05 Support &amp; Income'!$F$5:$F$41)*IF('07 Support Drivers'!$D$15="Headcount",SUMIF('08 Allocation Data'!$A$5:$A$34,$A23,'08 Allocation Data'!$D$5:$D$34),IF('07 Support Drivers'!$D$15="FTE",SUMIF('08 Allocation Data'!$A$5:$A$34,$A23,'08 Allocation Data'!$E$5:$E$34),IF('07 Support Drivers'!$D$15="Floor space",SUMIF('08 Allocation Data'!$A$5:$A$34,$A23,'08 Allocation Data'!$F$5:$F$34),IF('07 Support Drivers'!$D$15="Weighted floor space",SUMIF('08 Allocation Data'!$A$5:$A$34,$A23,'08 Allocation Data'!$I$5:$I$34),IF('07 Support Drivers'!$D$15="Cleaning hours",SUMIF('08 Allocation Data'!$A$5:$A$34,$A23,'08 Allocation Data'!$J$5:$J$34),IF('07 Support Drivers'!$D$15="Meals",SUMIF('08 Allocation Data'!$A$5:$A$34,$A23,'08 Allocation Data'!$K$5:$K$34),IF('07 Support Drivers'!$D$15="Direct costs",SUMIF('08 Allocation Data'!$A$5:$A$34,$A23,'08 Allocation Data'!$M$5:$M$34),0)))))))/'07 Support Drivers'!$G$15,0))</f>
        <v>0</v>
      </c>
      <c r="P23" s="55">
        <f>IF('07 Support Drivers'!$D$16="Two-stage finance",SUMIF('05 Support &amp; Income'!$A$5:$A$41,P$4,'05 Support &amp; Income'!$F$5:$F$41)*IF(SUMIF('08 Allocation Data'!$A$5:$A$34,$A23,'08 Allocation Data'!$L$5:$L$34)&gt;0,SUMIF('08 Allocation Data'!$A$5:$A$34,$A23,'08 Allocation Data'!$L$5:$L$34),IFERROR((1-SUM('08 Allocation Data'!$L$5:$L$34))*C23/SUMIFS($C$5:$C$34,'08 Allocation Data'!$L$5:$L$34,0),0)),IFERROR(SUMIF('05 Support &amp; Income'!$A$5:$A$41,P$4,'05 Support &amp; Income'!$F$5:$F$41)*IF('07 Support Drivers'!$D$16="Headcount",SUMIF('08 Allocation Data'!$A$5:$A$34,$A23,'08 Allocation Data'!$D$5:$D$34),IF('07 Support Drivers'!$D$16="FTE",SUMIF('08 Allocation Data'!$A$5:$A$34,$A23,'08 Allocation Data'!$E$5:$E$34),IF('07 Support Drivers'!$D$16="Floor space",SUMIF('08 Allocation Data'!$A$5:$A$34,$A23,'08 Allocation Data'!$F$5:$F$34),IF('07 Support Drivers'!$D$16="Weighted floor space",SUMIF('08 Allocation Data'!$A$5:$A$34,$A23,'08 Allocation Data'!$I$5:$I$34),IF('07 Support Drivers'!$D$16="Cleaning hours",SUMIF('08 Allocation Data'!$A$5:$A$34,$A23,'08 Allocation Data'!$J$5:$J$34),IF('07 Support Drivers'!$D$16="Meals",SUMIF('08 Allocation Data'!$A$5:$A$34,$A23,'08 Allocation Data'!$K$5:$K$34),IF('07 Support Drivers'!$D$16="Direct costs",SUMIF('08 Allocation Data'!$A$5:$A$34,$A23,'08 Allocation Data'!$M$5:$M$34),0)))))))/'07 Support Drivers'!$G$16,0))</f>
        <v>0</v>
      </c>
      <c r="Q23" s="55">
        <f>IF('07 Support Drivers'!$D$17="Two-stage finance",SUMIF('05 Support &amp; Income'!$A$5:$A$41,Q$4,'05 Support &amp; Income'!$F$5:$F$41)*IF(SUMIF('08 Allocation Data'!$A$5:$A$34,$A23,'08 Allocation Data'!$L$5:$L$34)&gt;0,SUMIF('08 Allocation Data'!$A$5:$A$34,$A23,'08 Allocation Data'!$L$5:$L$34),IFERROR((1-SUM('08 Allocation Data'!$L$5:$L$34))*C23/SUMIFS($C$5:$C$34,'08 Allocation Data'!$L$5:$L$34,0),0)),IFERROR(SUMIF('05 Support &amp; Income'!$A$5:$A$41,Q$4,'05 Support &amp; Income'!$F$5:$F$41)*IF('07 Support Drivers'!$D$17="Headcount",SUMIF('08 Allocation Data'!$A$5:$A$34,$A23,'08 Allocation Data'!$D$5:$D$34),IF('07 Support Drivers'!$D$17="FTE",SUMIF('08 Allocation Data'!$A$5:$A$34,$A23,'08 Allocation Data'!$E$5:$E$34),IF('07 Support Drivers'!$D$17="Floor space",SUMIF('08 Allocation Data'!$A$5:$A$34,$A23,'08 Allocation Data'!$F$5:$F$34),IF('07 Support Drivers'!$D$17="Weighted floor space",SUMIF('08 Allocation Data'!$A$5:$A$34,$A23,'08 Allocation Data'!$I$5:$I$34),IF('07 Support Drivers'!$D$17="Cleaning hours",SUMIF('08 Allocation Data'!$A$5:$A$34,$A23,'08 Allocation Data'!$J$5:$J$34),IF('07 Support Drivers'!$D$17="Meals",SUMIF('08 Allocation Data'!$A$5:$A$34,$A23,'08 Allocation Data'!$K$5:$K$34),IF('07 Support Drivers'!$D$17="Direct costs",SUMIF('08 Allocation Data'!$A$5:$A$34,$A23,'08 Allocation Data'!$M$5:$M$34),0)))))))/'07 Support Drivers'!$G$17,0))</f>
        <v>0</v>
      </c>
      <c r="R23" s="48">
        <f t="shared" si="0"/>
        <v>0</v>
      </c>
      <c r="S23" s="48">
        <f>SUMIF('04 Service Costs'!$A$5:$A$31,A23,'04 Service Costs'!$M$5:$M$31)+SUMIF('06 Shared Cost Pools'!$D$21:$D$260,A23,'06 Shared Cost Pools'!$I$21:$I$260)</f>
        <v>0</v>
      </c>
      <c r="T23" s="48">
        <f>SUMIF('04 Service Costs'!$A$5:$A$31,A23,'04 Service Costs'!$N$5:$N$31)+SUMIF('06 Shared Cost Pools'!$D$21:$D$260,A23,'06 Shared Cost Pools'!$J$21:$J$260)</f>
        <v>0</v>
      </c>
      <c r="U23" s="48">
        <f>SUMIF('04 Service Costs'!$A$5:$A$31,A23,'04 Service Costs'!$O$5:$O$31)+SUMIF('06 Shared Cost Pools'!$D$21:$D$260,A23,'06 Shared Cost Pools'!$K$21:$K$260)</f>
        <v>0</v>
      </c>
      <c r="V23" s="48">
        <f t="shared" si="1"/>
        <v>0</v>
      </c>
    </row>
    <row r="24" spans="1:22">
      <c r="A24" s="3" t="s">
        <v>156</v>
      </c>
      <c r="B24" s="3" t="s">
        <v>157</v>
      </c>
      <c r="C24" s="55">
        <f>SUMIF('04 Service Costs'!$A$5:$A$31,A24,'04 Service Costs'!$L$5:$L$31)+SUMIF('05 Support &amp; Income'!$A$5:$A$41,A24,'05 Support &amp; Income'!$F$5:$F$41)</f>
        <v>0</v>
      </c>
      <c r="D24" s="55">
        <f>SUMIF('06 Shared Cost Pools'!$D$21:$D$260,A24,'06 Shared Cost Pools'!$F$21:$F$260)</f>
        <v>0</v>
      </c>
      <c r="E24" s="55">
        <f>IF('07 Support Drivers'!$D$5="Two-stage finance",SUMIF('05 Support &amp; Income'!$A$5:$A$41,E$4,'05 Support &amp; Income'!$F$5:$F$41)*IF(SUMIF('08 Allocation Data'!$A$5:$A$34,$A24,'08 Allocation Data'!$L$5:$L$34)&gt;0,SUMIF('08 Allocation Data'!$A$5:$A$34,$A24,'08 Allocation Data'!$L$5:$L$34),IFERROR((1-SUM('08 Allocation Data'!$L$5:$L$34))*C24/SUMIFS($C$5:$C$34,'08 Allocation Data'!$L$5:$L$34,0),0)),IFERROR(SUMIF('05 Support &amp; Income'!$A$5:$A$41,E$4,'05 Support &amp; Income'!$F$5:$F$41)*IF('07 Support Drivers'!$D$5="Headcount",SUMIF('08 Allocation Data'!$A$5:$A$34,$A24,'08 Allocation Data'!$D$5:$D$34),IF('07 Support Drivers'!$D$5="FTE",SUMIF('08 Allocation Data'!$A$5:$A$34,$A24,'08 Allocation Data'!$E$5:$E$34),IF('07 Support Drivers'!$D$5="Floor space",SUMIF('08 Allocation Data'!$A$5:$A$34,$A24,'08 Allocation Data'!$F$5:$F$34),IF('07 Support Drivers'!$D$5="Weighted floor space",SUMIF('08 Allocation Data'!$A$5:$A$34,$A24,'08 Allocation Data'!$I$5:$I$34),IF('07 Support Drivers'!$D$5="Cleaning hours",SUMIF('08 Allocation Data'!$A$5:$A$34,$A24,'08 Allocation Data'!$J$5:$J$34),IF('07 Support Drivers'!$D$5="Meals",SUMIF('08 Allocation Data'!$A$5:$A$34,$A24,'08 Allocation Data'!$K$5:$K$34),IF('07 Support Drivers'!$D$5="Direct costs",SUMIF('08 Allocation Data'!$A$5:$A$34,$A24,'08 Allocation Data'!$M$5:$M$34),0)))))))/'07 Support Drivers'!$G$5,0))</f>
        <v>0</v>
      </c>
      <c r="F24" s="55">
        <f>IF('07 Support Drivers'!$D$6="Two-stage finance",SUMIF('05 Support &amp; Income'!$A$5:$A$41,F$4,'05 Support &amp; Income'!$F$5:$F$41)*IF(SUMIF('08 Allocation Data'!$A$5:$A$34,$A24,'08 Allocation Data'!$L$5:$L$34)&gt;0,SUMIF('08 Allocation Data'!$A$5:$A$34,$A24,'08 Allocation Data'!$L$5:$L$34),IFERROR((1-SUM('08 Allocation Data'!$L$5:$L$34))*C24/SUMIFS($C$5:$C$34,'08 Allocation Data'!$L$5:$L$34,0),0)),IFERROR(SUMIF('05 Support &amp; Income'!$A$5:$A$41,F$4,'05 Support &amp; Income'!$F$5:$F$41)*IF('07 Support Drivers'!$D$6="Headcount",SUMIF('08 Allocation Data'!$A$5:$A$34,$A24,'08 Allocation Data'!$D$5:$D$34),IF('07 Support Drivers'!$D$6="FTE",SUMIF('08 Allocation Data'!$A$5:$A$34,$A24,'08 Allocation Data'!$E$5:$E$34),IF('07 Support Drivers'!$D$6="Floor space",SUMIF('08 Allocation Data'!$A$5:$A$34,$A24,'08 Allocation Data'!$F$5:$F$34),IF('07 Support Drivers'!$D$6="Weighted floor space",SUMIF('08 Allocation Data'!$A$5:$A$34,$A24,'08 Allocation Data'!$I$5:$I$34),IF('07 Support Drivers'!$D$6="Cleaning hours",SUMIF('08 Allocation Data'!$A$5:$A$34,$A24,'08 Allocation Data'!$J$5:$J$34),IF('07 Support Drivers'!$D$6="Meals",SUMIF('08 Allocation Data'!$A$5:$A$34,$A24,'08 Allocation Data'!$K$5:$K$34),IF('07 Support Drivers'!$D$6="Direct costs",SUMIF('08 Allocation Data'!$A$5:$A$34,$A24,'08 Allocation Data'!$M$5:$M$34),0)))))))/'07 Support Drivers'!$G$6,0))</f>
        <v>0</v>
      </c>
      <c r="G24" s="55">
        <f>IF('07 Support Drivers'!$D$7="Two-stage finance",SUMIF('05 Support &amp; Income'!$A$5:$A$41,G$4,'05 Support &amp; Income'!$F$5:$F$41)*IF(SUMIF('08 Allocation Data'!$A$5:$A$34,$A24,'08 Allocation Data'!$L$5:$L$34)&gt;0,SUMIF('08 Allocation Data'!$A$5:$A$34,$A24,'08 Allocation Data'!$L$5:$L$34),IFERROR((1-SUM('08 Allocation Data'!$L$5:$L$34))*C24/SUMIFS($C$5:$C$34,'08 Allocation Data'!$L$5:$L$34,0),0)),IFERROR(SUMIF('05 Support &amp; Income'!$A$5:$A$41,G$4,'05 Support &amp; Income'!$F$5:$F$41)*IF('07 Support Drivers'!$D$7="Headcount",SUMIF('08 Allocation Data'!$A$5:$A$34,$A24,'08 Allocation Data'!$D$5:$D$34),IF('07 Support Drivers'!$D$7="FTE",SUMIF('08 Allocation Data'!$A$5:$A$34,$A24,'08 Allocation Data'!$E$5:$E$34),IF('07 Support Drivers'!$D$7="Floor space",SUMIF('08 Allocation Data'!$A$5:$A$34,$A24,'08 Allocation Data'!$F$5:$F$34),IF('07 Support Drivers'!$D$7="Weighted floor space",SUMIF('08 Allocation Data'!$A$5:$A$34,$A24,'08 Allocation Data'!$I$5:$I$34),IF('07 Support Drivers'!$D$7="Cleaning hours",SUMIF('08 Allocation Data'!$A$5:$A$34,$A24,'08 Allocation Data'!$J$5:$J$34),IF('07 Support Drivers'!$D$7="Meals",SUMIF('08 Allocation Data'!$A$5:$A$34,$A24,'08 Allocation Data'!$K$5:$K$34),IF('07 Support Drivers'!$D$7="Direct costs",SUMIF('08 Allocation Data'!$A$5:$A$34,$A24,'08 Allocation Data'!$M$5:$M$34),0)))))))/'07 Support Drivers'!$G$7,0))</f>
        <v>0</v>
      </c>
      <c r="H24" s="55">
        <f>IF('07 Support Drivers'!$D$8="Two-stage finance",SUMIF('05 Support &amp; Income'!$A$5:$A$41,H$4,'05 Support &amp; Income'!$F$5:$F$41)*IF(SUMIF('08 Allocation Data'!$A$5:$A$34,$A24,'08 Allocation Data'!$L$5:$L$34)&gt;0,SUMIF('08 Allocation Data'!$A$5:$A$34,$A24,'08 Allocation Data'!$L$5:$L$34),IFERROR((1-SUM('08 Allocation Data'!$L$5:$L$34))*C24/SUMIFS($C$5:$C$34,'08 Allocation Data'!$L$5:$L$34,0),0)),IFERROR(SUMIF('05 Support &amp; Income'!$A$5:$A$41,H$4,'05 Support &amp; Income'!$F$5:$F$41)*IF('07 Support Drivers'!$D$8="Headcount",SUMIF('08 Allocation Data'!$A$5:$A$34,$A24,'08 Allocation Data'!$D$5:$D$34),IF('07 Support Drivers'!$D$8="FTE",SUMIF('08 Allocation Data'!$A$5:$A$34,$A24,'08 Allocation Data'!$E$5:$E$34),IF('07 Support Drivers'!$D$8="Floor space",SUMIF('08 Allocation Data'!$A$5:$A$34,$A24,'08 Allocation Data'!$F$5:$F$34),IF('07 Support Drivers'!$D$8="Weighted floor space",SUMIF('08 Allocation Data'!$A$5:$A$34,$A24,'08 Allocation Data'!$I$5:$I$34),IF('07 Support Drivers'!$D$8="Cleaning hours",SUMIF('08 Allocation Data'!$A$5:$A$34,$A24,'08 Allocation Data'!$J$5:$J$34),IF('07 Support Drivers'!$D$8="Meals",SUMIF('08 Allocation Data'!$A$5:$A$34,$A24,'08 Allocation Data'!$K$5:$K$34),IF('07 Support Drivers'!$D$8="Direct costs",SUMIF('08 Allocation Data'!$A$5:$A$34,$A24,'08 Allocation Data'!$M$5:$M$34),0)))))))/'07 Support Drivers'!$G$8,0))</f>
        <v>0</v>
      </c>
      <c r="I24" s="55">
        <f>IF('07 Support Drivers'!$D$9="Two-stage finance",SUMIF('05 Support &amp; Income'!$A$5:$A$41,I$4,'05 Support &amp; Income'!$F$5:$F$41)*IF(SUMIF('08 Allocation Data'!$A$5:$A$34,$A24,'08 Allocation Data'!$L$5:$L$34)&gt;0,SUMIF('08 Allocation Data'!$A$5:$A$34,$A24,'08 Allocation Data'!$L$5:$L$34),IFERROR((1-SUM('08 Allocation Data'!$L$5:$L$34))*C24/SUMIFS($C$5:$C$34,'08 Allocation Data'!$L$5:$L$34,0),0)),IFERROR(SUMIF('05 Support &amp; Income'!$A$5:$A$41,I$4,'05 Support &amp; Income'!$F$5:$F$41)*IF('07 Support Drivers'!$D$9="Headcount",SUMIF('08 Allocation Data'!$A$5:$A$34,$A24,'08 Allocation Data'!$D$5:$D$34),IF('07 Support Drivers'!$D$9="FTE",SUMIF('08 Allocation Data'!$A$5:$A$34,$A24,'08 Allocation Data'!$E$5:$E$34),IF('07 Support Drivers'!$D$9="Floor space",SUMIF('08 Allocation Data'!$A$5:$A$34,$A24,'08 Allocation Data'!$F$5:$F$34),IF('07 Support Drivers'!$D$9="Weighted floor space",SUMIF('08 Allocation Data'!$A$5:$A$34,$A24,'08 Allocation Data'!$I$5:$I$34),IF('07 Support Drivers'!$D$9="Cleaning hours",SUMIF('08 Allocation Data'!$A$5:$A$34,$A24,'08 Allocation Data'!$J$5:$J$34),IF('07 Support Drivers'!$D$9="Meals",SUMIF('08 Allocation Data'!$A$5:$A$34,$A24,'08 Allocation Data'!$K$5:$K$34),IF('07 Support Drivers'!$D$9="Direct costs",SUMIF('08 Allocation Data'!$A$5:$A$34,$A24,'08 Allocation Data'!$M$5:$M$34),0)))))))/'07 Support Drivers'!$G$9,0))</f>
        <v>0</v>
      </c>
      <c r="J24" s="55">
        <f>IF('07 Support Drivers'!$D$10="Two-stage finance",SUMIF('05 Support &amp; Income'!$A$5:$A$41,J$4,'05 Support &amp; Income'!$F$5:$F$41)*IF(SUMIF('08 Allocation Data'!$A$5:$A$34,$A24,'08 Allocation Data'!$L$5:$L$34)&gt;0,SUMIF('08 Allocation Data'!$A$5:$A$34,$A24,'08 Allocation Data'!$L$5:$L$34),IFERROR((1-SUM('08 Allocation Data'!$L$5:$L$34))*C24/SUMIFS($C$5:$C$34,'08 Allocation Data'!$L$5:$L$34,0),0)),IFERROR(SUMIF('05 Support &amp; Income'!$A$5:$A$41,J$4,'05 Support &amp; Income'!$F$5:$F$41)*IF('07 Support Drivers'!$D$10="Headcount",SUMIF('08 Allocation Data'!$A$5:$A$34,$A24,'08 Allocation Data'!$D$5:$D$34),IF('07 Support Drivers'!$D$10="FTE",SUMIF('08 Allocation Data'!$A$5:$A$34,$A24,'08 Allocation Data'!$E$5:$E$34),IF('07 Support Drivers'!$D$10="Floor space",SUMIF('08 Allocation Data'!$A$5:$A$34,$A24,'08 Allocation Data'!$F$5:$F$34),IF('07 Support Drivers'!$D$10="Weighted floor space",SUMIF('08 Allocation Data'!$A$5:$A$34,$A24,'08 Allocation Data'!$I$5:$I$34),IF('07 Support Drivers'!$D$10="Cleaning hours",SUMIF('08 Allocation Data'!$A$5:$A$34,$A24,'08 Allocation Data'!$J$5:$J$34),IF('07 Support Drivers'!$D$10="Meals",SUMIF('08 Allocation Data'!$A$5:$A$34,$A24,'08 Allocation Data'!$K$5:$K$34),IF('07 Support Drivers'!$D$10="Direct costs",SUMIF('08 Allocation Data'!$A$5:$A$34,$A24,'08 Allocation Data'!$M$5:$M$34),0)))))))/'07 Support Drivers'!$G$10,0))</f>
        <v>0</v>
      </c>
      <c r="K24" s="55">
        <f>IF('07 Support Drivers'!$D$11="Two-stage finance",SUMIF('05 Support &amp; Income'!$A$5:$A$41,K$4,'05 Support &amp; Income'!$F$5:$F$41)*IF(SUMIF('08 Allocation Data'!$A$5:$A$34,$A24,'08 Allocation Data'!$L$5:$L$34)&gt;0,SUMIF('08 Allocation Data'!$A$5:$A$34,$A24,'08 Allocation Data'!$L$5:$L$34),IFERROR((1-SUM('08 Allocation Data'!$L$5:$L$34))*C24/SUMIFS($C$5:$C$34,'08 Allocation Data'!$L$5:$L$34,0),0)),IFERROR(SUMIF('05 Support &amp; Income'!$A$5:$A$41,K$4,'05 Support &amp; Income'!$F$5:$F$41)*IF('07 Support Drivers'!$D$11="Headcount",SUMIF('08 Allocation Data'!$A$5:$A$34,$A24,'08 Allocation Data'!$D$5:$D$34),IF('07 Support Drivers'!$D$11="FTE",SUMIF('08 Allocation Data'!$A$5:$A$34,$A24,'08 Allocation Data'!$E$5:$E$34),IF('07 Support Drivers'!$D$11="Floor space",SUMIF('08 Allocation Data'!$A$5:$A$34,$A24,'08 Allocation Data'!$F$5:$F$34),IF('07 Support Drivers'!$D$11="Weighted floor space",SUMIF('08 Allocation Data'!$A$5:$A$34,$A24,'08 Allocation Data'!$I$5:$I$34),IF('07 Support Drivers'!$D$11="Cleaning hours",SUMIF('08 Allocation Data'!$A$5:$A$34,$A24,'08 Allocation Data'!$J$5:$J$34),IF('07 Support Drivers'!$D$11="Meals",SUMIF('08 Allocation Data'!$A$5:$A$34,$A24,'08 Allocation Data'!$K$5:$K$34),IF('07 Support Drivers'!$D$11="Direct costs",SUMIF('08 Allocation Data'!$A$5:$A$34,$A24,'08 Allocation Data'!$M$5:$M$34),0)))))))/'07 Support Drivers'!$G$11,0))</f>
        <v>0</v>
      </c>
      <c r="L24" s="55">
        <f>IF('07 Support Drivers'!$D$12="Two-stage finance",SUMIF('05 Support &amp; Income'!$A$5:$A$41,L$4,'05 Support &amp; Income'!$F$5:$F$41)*IF(SUMIF('08 Allocation Data'!$A$5:$A$34,$A24,'08 Allocation Data'!$L$5:$L$34)&gt;0,SUMIF('08 Allocation Data'!$A$5:$A$34,$A24,'08 Allocation Data'!$L$5:$L$34),IFERROR((1-SUM('08 Allocation Data'!$L$5:$L$34))*C24/SUMIFS($C$5:$C$34,'08 Allocation Data'!$L$5:$L$34,0),0)),IFERROR(SUMIF('05 Support &amp; Income'!$A$5:$A$41,L$4,'05 Support &amp; Income'!$F$5:$F$41)*IF('07 Support Drivers'!$D$12="Headcount",SUMIF('08 Allocation Data'!$A$5:$A$34,$A24,'08 Allocation Data'!$D$5:$D$34),IF('07 Support Drivers'!$D$12="FTE",SUMIF('08 Allocation Data'!$A$5:$A$34,$A24,'08 Allocation Data'!$E$5:$E$34),IF('07 Support Drivers'!$D$12="Floor space",SUMIF('08 Allocation Data'!$A$5:$A$34,$A24,'08 Allocation Data'!$F$5:$F$34),IF('07 Support Drivers'!$D$12="Weighted floor space",SUMIF('08 Allocation Data'!$A$5:$A$34,$A24,'08 Allocation Data'!$I$5:$I$34),IF('07 Support Drivers'!$D$12="Cleaning hours",SUMIF('08 Allocation Data'!$A$5:$A$34,$A24,'08 Allocation Data'!$J$5:$J$34),IF('07 Support Drivers'!$D$12="Meals",SUMIF('08 Allocation Data'!$A$5:$A$34,$A24,'08 Allocation Data'!$K$5:$K$34),IF('07 Support Drivers'!$D$12="Direct costs",SUMIF('08 Allocation Data'!$A$5:$A$34,$A24,'08 Allocation Data'!$M$5:$M$34),0)))))))/'07 Support Drivers'!$G$12,0))</f>
        <v>0</v>
      </c>
      <c r="M24" s="55">
        <f>IF('07 Support Drivers'!$D$13="Two-stage finance",SUMIF('05 Support &amp; Income'!$A$5:$A$41,M$4,'05 Support &amp; Income'!$F$5:$F$41)*IF(SUMIF('08 Allocation Data'!$A$5:$A$34,$A24,'08 Allocation Data'!$L$5:$L$34)&gt;0,SUMIF('08 Allocation Data'!$A$5:$A$34,$A24,'08 Allocation Data'!$L$5:$L$34),IFERROR((1-SUM('08 Allocation Data'!$L$5:$L$34))*C24/SUMIFS($C$5:$C$34,'08 Allocation Data'!$L$5:$L$34,0),0)),IFERROR(SUMIF('05 Support &amp; Income'!$A$5:$A$41,M$4,'05 Support &amp; Income'!$F$5:$F$41)*IF('07 Support Drivers'!$D$13="Headcount",SUMIF('08 Allocation Data'!$A$5:$A$34,$A24,'08 Allocation Data'!$D$5:$D$34),IF('07 Support Drivers'!$D$13="FTE",SUMIF('08 Allocation Data'!$A$5:$A$34,$A24,'08 Allocation Data'!$E$5:$E$34),IF('07 Support Drivers'!$D$13="Floor space",SUMIF('08 Allocation Data'!$A$5:$A$34,$A24,'08 Allocation Data'!$F$5:$F$34),IF('07 Support Drivers'!$D$13="Weighted floor space",SUMIF('08 Allocation Data'!$A$5:$A$34,$A24,'08 Allocation Data'!$I$5:$I$34),IF('07 Support Drivers'!$D$13="Cleaning hours",SUMIF('08 Allocation Data'!$A$5:$A$34,$A24,'08 Allocation Data'!$J$5:$J$34),IF('07 Support Drivers'!$D$13="Meals",SUMIF('08 Allocation Data'!$A$5:$A$34,$A24,'08 Allocation Data'!$K$5:$K$34),IF('07 Support Drivers'!$D$13="Direct costs",SUMIF('08 Allocation Data'!$A$5:$A$34,$A24,'08 Allocation Data'!$M$5:$M$34),0)))))))/'07 Support Drivers'!$G$13,0))</f>
        <v>0</v>
      </c>
      <c r="N24" s="55">
        <f>IF('07 Support Drivers'!$D$14="Two-stage finance",SUMIF('05 Support &amp; Income'!$A$5:$A$41,N$4,'05 Support &amp; Income'!$F$5:$F$41)*IF(SUMIF('08 Allocation Data'!$A$5:$A$34,$A24,'08 Allocation Data'!$L$5:$L$34)&gt;0,SUMIF('08 Allocation Data'!$A$5:$A$34,$A24,'08 Allocation Data'!$L$5:$L$34),IFERROR((1-SUM('08 Allocation Data'!$L$5:$L$34))*C24/SUMIFS($C$5:$C$34,'08 Allocation Data'!$L$5:$L$34,0),0)),IFERROR(SUMIF('05 Support &amp; Income'!$A$5:$A$41,N$4,'05 Support &amp; Income'!$F$5:$F$41)*IF('07 Support Drivers'!$D$14="Headcount",SUMIF('08 Allocation Data'!$A$5:$A$34,$A24,'08 Allocation Data'!$D$5:$D$34),IF('07 Support Drivers'!$D$14="FTE",SUMIF('08 Allocation Data'!$A$5:$A$34,$A24,'08 Allocation Data'!$E$5:$E$34),IF('07 Support Drivers'!$D$14="Floor space",SUMIF('08 Allocation Data'!$A$5:$A$34,$A24,'08 Allocation Data'!$F$5:$F$34),IF('07 Support Drivers'!$D$14="Weighted floor space",SUMIF('08 Allocation Data'!$A$5:$A$34,$A24,'08 Allocation Data'!$I$5:$I$34),IF('07 Support Drivers'!$D$14="Cleaning hours",SUMIF('08 Allocation Data'!$A$5:$A$34,$A24,'08 Allocation Data'!$J$5:$J$34),IF('07 Support Drivers'!$D$14="Meals",SUMIF('08 Allocation Data'!$A$5:$A$34,$A24,'08 Allocation Data'!$K$5:$K$34),IF('07 Support Drivers'!$D$14="Direct costs",SUMIF('08 Allocation Data'!$A$5:$A$34,$A24,'08 Allocation Data'!$M$5:$M$34),0)))))))/'07 Support Drivers'!$G$14,0))</f>
        <v>0</v>
      </c>
      <c r="O24" s="55">
        <f>IF('07 Support Drivers'!$D$15="Two-stage finance",SUMIF('05 Support &amp; Income'!$A$5:$A$41,O$4,'05 Support &amp; Income'!$F$5:$F$41)*IF(SUMIF('08 Allocation Data'!$A$5:$A$34,$A24,'08 Allocation Data'!$L$5:$L$34)&gt;0,SUMIF('08 Allocation Data'!$A$5:$A$34,$A24,'08 Allocation Data'!$L$5:$L$34),IFERROR((1-SUM('08 Allocation Data'!$L$5:$L$34))*C24/SUMIFS($C$5:$C$34,'08 Allocation Data'!$L$5:$L$34,0),0)),IFERROR(SUMIF('05 Support &amp; Income'!$A$5:$A$41,O$4,'05 Support &amp; Income'!$F$5:$F$41)*IF('07 Support Drivers'!$D$15="Headcount",SUMIF('08 Allocation Data'!$A$5:$A$34,$A24,'08 Allocation Data'!$D$5:$D$34),IF('07 Support Drivers'!$D$15="FTE",SUMIF('08 Allocation Data'!$A$5:$A$34,$A24,'08 Allocation Data'!$E$5:$E$34),IF('07 Support Drivers'!$D$15="Floor space",SUMIF('08 Allocation Data'!$A$5:$A$34,$A24,'08 Allocation Data'!$F$5:$F$34),IF('07 Support Drivers'!$D$15="Weighted floor space",SUMIF('08 Allocation Data'!$A$5:$A$34,$A24,'08 Allocation Data'!$I$5:$I$34),IF('07 Support Drivers'!$D$15="Cleaning hours",SUMIF('08 Allocation Data'!$A$5:$A$34,$A24,'08 Allocation Data'!$J$5:$J$34),IF('07 Support Drivers'!$D$15="Meals",SUMIF('08 Allocation Data'!$A$5:$A$34,$A24,'08 Allocation Data'!$K$5:$K$34),IF('07 Support Drivers'!$D$15="Direct costs",SUMIF('08 Allocation Data'!$A$5:$A$34,$A24,'08 Allocation Data'!$M$5:$M$34),0)))))))/'07 Support Drivers'!$G$15,0))</f>
        <v>0</v>
      </c>
      <c r="P24" s="55">
        <f>IF('07 Support Drivers'!$D$16="Two-stage finance",SUMIF('05 Support &amp; Income'!$A$5:$A$41,P$4,'05 Support &amp; Income'!$F$5:$F$41)*IF(SUMIF('08 Allocation Data'!$A$5:$A$34,$A24,'08 Allocation Data'!$L$5:$L$34)&gt;0,SUMIF('08 Allocation Data'!$A$5:$A$34,$A24,'08 Allocation Data'!$L$5:$L$34),IFERROR((1-SUM('08 Allocation Data'!$L$5:$L$34))*C24/SUMIFS($C$5:$C$34,'08 Allocation Data'!$L$5:$L$34,0),0)),IFERROR(SUMIF('05 Support &amp; Income'!$A$5:$A$41,P$4,'05 Support &amp; Income'!$F$5:$F$41)*IF('07 Support Drivers'!$D$16="Headcount",SUMIF('08 Allocation Data'!$A$5:$A$34,$A24,'08 Allocation Data'!$D$5:$D$34),IF('07 Support Drivers'!$D$16="FTE",SUMIF('08 Allocation Data'!$A$5:$A$34,$A24,'08 Allocation Data'!$E$5:$E$34),IF('07 Support Drivers'!$D$16="Floor space",SUMIF('08 Allocation Data'!$A$5:$A$34,$A24,'08 Allocation Data'!$F$5:$F$34),IF('07 Support Drivers'!$D$16="Weighted floor space",SUMIF('08 Allocation Data'!$A$5:$A$34,$A24,'08 Allocation Data'!$I$5:$I$34),IF('07 Support Drivers'!$D$16="Cleaning hours",SUMIF('08 Allocation Data'!$A$5:$A$34,$A24,'08 Allocation Data'!$J$5:$J$34),IF('07 Support Drivers'!$D$16="Meals",SUMIF('08 Allocation Data'!$A$5:$A$34,$A24,'08 Allocation Data'!$K$5:$K$34),IF('07 Support Drivers'!$D$16="Direct costs",SUMIF('08 Allocation Data'!$A$5:$A$34,$A24,'08 Allocation Data'!$M$5:$M$34),0)))))))/'07 Support Drivers'!$G$16,0))</f>
        <v>0</v>
      </c>
      <c r="Q24" s="55">
        <f>IF('07 Support Drivers'!$D$17="Two-stage finance",SUMIF('05 Support &amp; Income'!$A$5:$A$41,Q$4,'05 Support &amp; Income'!$F$5:$F$41)*IF(SUMIF('08 Allocation Data'!$A$5:$A$34,$A24,'08 Allocation Data'!$L$5:$L$34)&gt;0,SUMIF('08 Allocation Data'!$A$5:$A$34,$A24,'08 Allocation Data'!$L$5:$L$34),IFERROR((1-SUM('08 Allocation Data'!$L$5:$L$34))*C24/SUMIFS($C$5:$C$34,'08 Allocation Data'!$L$5:$L$34,0),0)),IFERROR(SUMIF('05 Support &amp; Income'!$A$5:$A$41,Q$4,'05 Support &amp; Income'!$F$5:$F$41)*IF('07 Support Drivers'!$D$17="Headcount",SUMIF('08 Allocation Data'!$A$5:$A$34,$A24,'08 Allocation Data'!$D$5:$D$34),IF('07 Support Drivers'!$D$17="FTE",SUMIF('08 Allocation Data'!$A$5:$A$34,$A24,'08 Allocation Data'!$E$5:$E$34),IF('07 Support Drivers'!$D$17="Floor space",SUMIF('08 Allocation Data'!$A$5:$A$34,$A24,'08 Allocation Data'!$F$5:$F$34),IF('07 Support Drivers'!$D$17="Weighted floor space",SUMIF('08 Allocation Data'!$A$5:$A$34,$A24,'08 Allocation Data'!$I$5:$I$34),IF('07 Support Drivers'!$D$17="Cleaning hours",SUMIF('08 Allocation Data'!$A$5:$A$34,$A24,'08 Allocation Data'!$J$5:$J$34),IF('07 Support Drivers'!$D$17="Meals",SUMIF('08 Allocation Data'!$A$5:$A$34,$A24,'08 Allocation Data'!$K$5:$K$34),IF('07 Support Drivers'!$D$17="Direct costs",SUMIF('08 Allocation Data'!$A$5:$A$34,$A24,'08 Allocation Data'!$M$5:$M$34),0)))))))/'07 Support Drivers'!$G$17,0))</f>
        <v>0</v>
      </c>
      <c r="R24" s="48">
        <f t="shared" si="0"/>
        <v>0</v>
      </c>
      <c r="S24" s="48">
        <f>SUMIF('04 Service Costs'!$A$5:$A$31,A24,'04 Service Costs'!$M$5:$M$31)+SUMIF('06 Shared Cost Pools'!$D$21:$D$260,A24,'06 Shared Cost Pools'!$I$21:$I$260)</f>
        <v>0</v>
      </c>
      <c r="T24" s="48">
        <f>SUMIF('04 Service Costs'!$A$5:$A$31,A24,'04 Service Costs'!$N$5:$N$31)+SUMIF('06 Shared Cost Pools'!$D$21:$D$260,A24,'06 Shared Cost Pools'!$J$21:$J$260)</f>
        <v>0</v>
      </c>
      <c r="U24" s="48">
        <f>SUMIF('04 Service Costs'!$A$5:$A$31,A24,'04 Service Costs'!$O$5:$O$31)+SUMIF('06 Shared Cost Pools'!$D$21:$D$260,A24,'06 Shared Cost Pools'!$K$21:$K$260)</f>
        <v>0</v>
      </c>
      <c r="V24" s="48">
        <f t="shared" si="1"/>
        <v>0</v>
      </c>
    </row>
    <row r="25" spans="1:22">
      <c r="A25" s="3" t="s">
        <v>158</v>
      </c>
      <c r="B25" s="3" t="s">
        <v>159</v>
      </c>
      <c r="C25" s="55">
        <f>SUMIF('04 Service Costs'!$A$5:$A$31,A25,'04 Service Costs'!$L$5:$L$31)+SUMIF('05 Support &amp; Income'!$A$5:$A$41,A25,'05 Support &amp; Income'!$F$5:$F$41)</f>
        <v>0</v>
      </c>
      <c r="D25" s="55">
        <f>SUMIF('06 Shared Cost Pools'!$D$21:$D$260,A25,'06 Shared Cost Pools'!$F$21:$F$260)</f>
        <v>0</v>
      </c>
      <c r="E25" s="55">
        <f>IF('07 Support Drivers'!$D$5="Two-stage finance",SUMIF('05 Support &amp; Income'!$A$5:$A$41,E$4,'05 Support &amp; Income'!$F$5:$F$41)*IF(SUMIF('08 Allocation Data'!$A$5:$A$34,$A25,'08 Allocation Data'!$L$5:$L$34)&gt;0,SUMIF('08 Allocation Data'!$A$5:$A$34,$A25,'08 Allocation Data'!$L$5:$L$34),IFERROR((1-SUM('08 Allocation Data'!$L$5:$L$34))*C25/SUMIFS($C$5:$C$34,'08 Allocation Data'!$L$5:$L$34,0),0)),IFERROR(SUMIF('05 Support &amp; Income'!$A$5:$A$41,E$4,'05 Support &amp; Income'!$F$5:$F$41)*IF('07 Support Drivers'!$D$5="Headcount",SUMIF('08 Allocation Data'!$A$5:$A$34,$A25,'08 Allocation Data'!$D$5:$D$34),IF('07 Support Drivers'!$D$5="FTE",SUMIF('08 Allocation Data'!$A$5:$A$34,$A25,'08 Allocation Data'!$E$5:$E$34),IF('07 Support Drivers'!$D$5="Floor space",SUMIF('08 Allocation Data'!$A$5:$A$34,$A25,'08 Allocation Data'!$F$5:$F$34),IF('07 Support Drivers'!$D$5="Weighted floor space",SUMIF('08 Allocation Data'!$A$5:$A$34,$A25,'08 Allocation Data'!$I$5:$I$34),IF('07 Support Drivers'!$D$5="Cleaning hours",SUMIF('08 Allocation Data'!$A$5:$A$34,$A25,'08 Allocation Data'!$J$5:$J$34),IF('07 Support Drivers'!$D$5="Meals",SUMIF('08 Allocation Data'!$A$5:$A$34,$A25,'08 Allocation Data'!$K$5:$K$34),IF('07 Support Drivers'!$D$5="Direct costs",SUMIF('08 Allocation Data'!$A$5:$A$34,$A25,'08 Allocation Data'!$M$5:$M$34),0)))))))/'07 Support Drivers'!$G$5,0))</f>
        <v>0</v>
      </c>
      <c r="F25" s="55">
        <f>IF('07 Support Drivers'!$D$6="Two-stage finance",SUMIF('05 Support &amp; Income'!$A$5:$A$41,F$4,'05 Support &amp; Income'!$F$5:$F$41)*IF(SUMIF('08 Allocation Data'!$A$5:$A$34,$A25,'08 Allocation Data'!$L$5:$L$34)&gt;0,SUMIF('08 Allocation Data'!$A$5:$A$34,$A25,'08 Allocation Data'!$L$5:$L$34),IFERROR((1-SUM('08 Allocation Data'!$L$5:$L$34))*C25/SUMIFS($C$5:$C$34,'08 Allocation Data'!$L$5:$L$34,0),0)),IFERROR(SUMIF('05 Support &amp; Income'!$A$5:$A$41,F$4,'05 Support &amp; Income'!$F$5:$F$41)*IF('07 Support Drivers'!$D$6="Headcount",SUMIF('08 Allocation Data'!$A$5:$A$34,$A25,'08 Allocation Data'!$D$5:$D$34),IF('07 Support Drivers'!$D$6="FTE",SUMIF('08 Allocation Data'!$A$5:$A$34,$A25,'08 Allocation Data'!$E$5:$E$34),IF('07 Support Drivers'!$D$6="Floor space",SUMIF('08 Allocation Data'!$A$5:$A$34,$A25,'08 Allocation Data'!$F$5:$F$34),IF('07 Support Drivers'!$D$6="Weighted floor space",SUMIF('08 Allocation Data'!$A$5:$A$34,$A25,'08 Allocation Data'!$I$5:$I$34),IF('07 Support Drivers'!$D$6="Cleaning hours",SUMIF('08 Allocation Data'!$A$5:$A$34,$A25,'08 Allocation Data'!$J$5:$J$34),IF('07 Support Drivers'!$D$6="Meals",SUMIF('08 Allocation Data'!$A$5:$A$34,$A25,'08 Allocation Data'!$K$5:$K$34),IF('07 Support Drivers'!$D$6="Direct costs",SUMIF('08 Allocation Data'!$A$5:$A$34,$A25,'08 Allocation Data'!$M$5:$M$34),0)))))))/'07 Support Drivers'!$G$6,0))</f>
        <v>0</v>
      </c>
      <c r="G25" s="55">
        <f>IF('07 Support Drivers'!$D$7="Two-stage finance",SUMIF('05 Support &amp; Income'!$A$5:$A$41,G$4,'05 Support &amp; Income'!$F$5:$F$41)*IF(SUMIF('08 Allocation Data'!$A$5:$A$34,$A25,'08 Allocation Data'!$L$5:$L$34)&gt;0,SUMIF('08 Allocation Data'!$A$5:$A$34,$A25,'08 Allocation Data'!$L$5:$L$34),IFERROR((1-SUM('08 Allocation Data'!$L$5:$L$34))*C25/SUMIFS($C$5:$C$34,'08 Allocation Data'!$L$5:$L$34,0),0)),IFERROR(SUMIF('05 Support &amp; Income'!$A$5:$A$41,G$4,'05 Support &amp; Income'!$F$5:$F$41)*IF('07 Support Drivers'!$D$7="Headcount",SUMIF('08 Allocation Data'!$A$5:$A$34,$A25,'08 Allocation Data'!$D$5:$D$34),IF('07 Support Drivers'!$D$7="FTE",SUMIF('08 Allocation Data'!$A$5:$A$34,$A25,'08 Allocation Data'!$E$5:$E$34),IF('07 Support Drivers'!$D$7="Floor space",SUMIF('08 Allocation Data'!$A$5:$A$34,$A25,'08 Allocation Data'!$F$5:$F$34),IF('07 Support Drivers'!$D$7="Weighted floor space",SUMIF('08 Allocation Data'!$A$5:$A$34,$A25,'08 Allocation Data'!$I$5:$I$34),IF('07 Support Drivers'!$D$7="Cleaning hours",SUMIF('08 Allocation Data'!$A$5:$A$34,$A25,'08 Allocation Data'!$J$5:$J$34),IF('07 Support Drivers'!$D$7="Meals",SUMIF('08 Allocation Data'!$A$5:$A$34,$A25,'08 Allocation Data'!$K$5:$K$34),IF('07 Support Drivers'!$D$7="Direct costs",SUMIF('08 Allocation Data'!$A$5:$A$34,$A25,'08 Allocation Data'!$M$5:$M$34),0)))))))/'07 Support Drivers'!$G$7,0))</f>
        <v>0</v>
      </c>
      <c r="H25" s="55">
        <f>IF('07 Support Drivers'!$D$8="Two-stage finance",SUMIF('05 Support &amp; Income'!$A$5:$A$41,H$4,'05 Support &amp; Income'!$F$5:$F$41)*IF(SUMIF('08 Allocation Data'!$A$5:$A$34,$A25,'08 Allocation Data'!$L$5:$L$34)&gt;0,SUMIF('08 Allocation Data'!$A$5:$A$34,$A25,'08 Allocation Data'!$L$5:$L$34),IFERROR((1-SUM('08 Allocation Data'!$L$5:$L$34))*C25/SUMIFS($C$5:$C$34,'08 Allocation Data'!$L$5:$L$34,0),0)),IFERROR(SUMIF('05 Support &amp; Income'!$A$5:$A$41,H$4,'05 Support &amp; Income'!$F$5:$F$41)*IF('07 Support Drivers'!$D$8="Headcount",SUMIF('08 Allocation Data'!$A$5:$A$34,$A25,'08 Allocation Data'!$D$5:$D$34),IF('07 Support Drivers'!$D$8="FTE",SUMIF('08 Allocation Data'!$A$5:$A$34,$A25,'08 Allocation Data'!$E$5:$E$34),IF('07 Support Drivers'!$D$8="Floor space",SUMIF('08 Allocation Data'!$A$5:$A$34,$A25,'08 Allocation Data'!$F$5:$F$34),IF('07 Support Drivers'!$D$8="Weighted floor space",SUMIF('08 Allocation Data'!$A$5:$A$34,$A25,'08 Allocation Data'!$I$5:$I$34),IF('07 Support Drivers'!$D$8="Cleaning hours",SUMIF('08 Allocation Data'!$A$5:$A$34,$A25,'08 Allocation Data'!$J$5:$J$34),IF('07 Support Drivers'!$D$8="Meals",SUMIF('08 Allocation Data'!$A$5:$A$34,$A25,'08 Allocation Data'!$K$5:$K$34),IF('07 Support Drivers'!$D$8="Direct costs",SUMIF('08 Allocation Data'!$A$5:$A$34,$A25,'08 Allocation Data'!$M$5:$M$34),0)))))))/'07 Support Drivers'!$G$8,0))</f>
        <v>0</v>
      </c>
      <c r="I25" s="55">
        <f>IF('07 Support Drivers'!$D$9="Two-stage finance",SUMIF('05 Support &amp; Income'!$A$5:$A$41,I$4,'05 Support &amp; Income'!$F$5:$F$41)*IF(SUMIF('08 Allocation Data'!$A$5:$A$34,$A25,'08 Allocation Data'!$L$5:$L$34)&gt;0,SUMIF('08 Allocation Data'!$A$5:$A$34,$A25,'08 Allocation Data'!$L$5:$L$34),IFERROR((1-SUM('08 Allocation Data'!$L$5:$L$34))*C25/SUMIFS($C$5:$C$34,'08 Allocation Data'!$L$5:$L$34,0),0)),IFERROR(SUMIF('05 Support &amp; Income'!$A$5:$A$41,I$4,'05 Support &amp; Income'!$F$5:$F$41)*IF('07 Support Drivers'!$D$9="Headcount",SUMIF('08 Allocation Data'!$A$5:$A$34,$A25,'08 Allocation Data'!$D$5:$D$34),IF('07 Support Drivers'!$D$9="FTE",SUMIF('08 Allocation Data'!$A$5:$A$34,$A25,'08 Allocation Data'!$E$5:$E$34),IF('07 Support Drivers'!$D$9="Floor space",SUMIF('08 Allocation Data'!$A$5:$A$34,$A25,'08 Allocation Data'!$F$5:$F$34),IF('07 Support Drivers'!$D$9="Weighted floor space",SUMIF('08 Allocation Data'!$A$5:$A$34,$A25,'08 Allocation Data'!$I$5:$I$34),IF('07 Support Drivers'!$D$9="Cleaning hours",SUMIF('08 Allocation Data'!$A$5:$A$34,$A25,'08 Allocation Data'!$J$5:$J$34),IF('07 Support Drivers'!$D$9="Meals",SUMIF('08 Allocation Data'!$A$5:$A$34,$A25,'08 Allocation Data'!$K$5:$K$34),IF('07 Support Drivers'!$D$9="Direct costs",SUMIF('08 Allocation Data'!$A$5:$A$34,$A25,'08 Allocation Data'!$M$5:$M$34),0)))))))/'07 Support Drivers'!$G$9,0))</f>
        <v>0</v>
      </c>
      <c r="J25" s="55">
        <f>IF('07 Support Drivers'!$D$10="Two-stage finance",SUMIF('05 Support &amp; Income'!$A$5:$A$41,J$4,'05 Support &amp; Income'!$F$5:$F$41)*IF(SUMIF('08 Allocation Data'!$A$5:$A$34,$A25,'08 Allocation Data'!$L$5:$L$34)&gt;0,SUMIF('08 Allocation Data'!$A$5:$A$34,$A25,'08 Allocation Data'!$L$5:$L$34),IFERROR((1-SUM('08 Allocation Data'!$L$5:$L$34))*C25/SUMIFS($C$5:$C$34,'08 Allocation Data'!$L$5:$L$34,0),0)),IFERROR(SUMIF('05 Support &amp; Income'!$A$5:$A$41,J$4,'05 Support &amp; Income'!$F$5:$F$41)*IF('07 Support Drivers'!$D$10="Headcount",SUMIF('08 Allocation Data'!$A$5:$A$34,$A25,'08 Allocation Data'!$D$5:$D$34),IF('07 Support Drivers'!$D$10="FTE",SUMIF('08 Allocation Data'!$A$5:$A$34,$A25,'08 Allocation Data'!$E$5:$E$34),IF('07 Support Drivers'!$D$10="Floor space",SUMIF('08 Allocation Data'!$A$5:$A$34,$A25,'08 Allocation Data'!$F$5:$F$34),IF('07 Support Drivers'!$D$10="Weighted floor space",SUMIF('08 Allocation Data'!$A$5:$A$34,$A25,'08 Allocation Data'!$I$5:$I$34),IF('07 Support Drivers'!$D$10="Cleaning hours",SUMIF('08 Allocation Data'!$A$5:$A$34,$A25,'08 Allocation Data'!$J$5:$J$34),IF('07 Support Drivers'!$D$10="Meals",SUMIF('08 Allocation Data'!$A$5:$A$34,$A25,'08 Allocation Data'!$K$5:$K$34),IF('07 Support Drivers'!$D$10="Direct costs",SUMIF('08 Allocation Data'!$A$5:$A$34,$A25,'08 Allocation Data'!$M$5:$M$34),0)))))))/'07 Support Drivers'!$G$10,0))</f>
        <v>0</v>
      </c>
      <c r="K25" s="55">
        <f>IF('07 Support Drivers'!$D$11="Two-stage finance",SUMIF('05 Support &amp; Income'!$A$5:$A$41,K$4,'05 Support &amp; Income'!$F$5:$F$41)*IF(SUMIF('08 Allocation Data'!$A$5:$A$34,$A25,'08 Allocation Data'!$L$5:$L$34)&gt;0,SUMIF('08 Allocation Data'!$A$5:$A$34,$A25,'08 Allocation Data'!$L$5:$L$34),IFERROR((1-SUM('08 Allocation Data'!$L$5:$L$34))*C25/SUMIFS($C$5:$C$34,'08 Allocation Data'!$L$5:$L$34,0),0)),IFERROR(SUMIF('05 Support &amp; Income'!$A$5:$A$41,K$4,'05 Support &amp; Income'!$F$5:$F$41)*IF('07 Support Drivers'!$D$11="Headcount",SUMIF('08 Allocation Data'!$A$5:$A$34,$A25,'08 Allocation Data'!$D$5:$D$34),IF('07 Support Drivers'!$D$11="FTE",SUMIF('08 Allocation Data'!$A$5:$A$34,$A25,'08 Allocation Data'!$E$5:$E$34),IF('07 Support Drivers'!$D$11="Floor space",SUMIF('08 Allocation Data'!$A$5:$A$34,$A25,'08 Allocation Data'!$F$5:$F$34),IF('07 Support Drivers'!$D$11="Weighted floor space",SUMIF('08 Allocation Data'!$A$5:$A$34,$A25,'08 Allocation Data'!$I$5:$I$34),IF('07 Support Drivers'!$D$11="Cleaning hours",SUMIF('08 Allocation Data'!$A$5:$A$34,$A25,'08 Allocation Data'!$J$5:$J$34),IF('07 Support Drivers'!$D$11="Meals",SUMIF('08 Allocation Data'!$A$5:$A$34,$A25,'08 Allocation Data'!$K$5:$K$34),IF('07 Support Drivers'!$D$11="Direct costs",SUMIF('08 Allocation Data'!$A$5:$A$34,$A25,'08 Allocation Data'!$M$5:$M$34),0)))))))/'07 Support Drivers'!$G$11,0))</f>
        <v>0</v>
      </c>
      <c r="L25" s="55">
        <f>IF('07 Support Drivers'!$D$12="Two-stage finance",SUMIF('05 Support &amp; Income'!$A$5:$A$41,L$4,'05 Support &amp; Income'!$F$5:$F$41)*IF(SUMIF('08 Allocation Data'!$A$5:$A$34,$A25,'08 Allocation Data'!$L$5:$L$34)&gt;0,SUMIF('08 Allocation Data'!$A$5:$A$34,$A25,'08 Allocation Data'!$L$5:$L$34),IFERROR((1-SUM('08 Allocation Data'!$L$5:$L$34))*C25/SUMIFS($C$5:$C$34,'08 Allocation Data'!$L$5:$L$34,0),0)),IFERROR(SUMIF('05 Support &amp; Income'!$A$5:$A$41,L$4,'05 Support &amp; Income'!$F$5:$F$41)*IF('07 Support Drivers'!$D$12="Headcount",SUMIF('08 Allocation Data'!$A$5:$A$34,$A25,'08 Allocation Data'!$D$5:$D$34),IF('07 Support Drivers'!$D$12="FTE",SUMIF('08 Allocation Data'!$A$5:$A$34,$A25,'08 Allocation Data'!$E$5:$E$34),IF('07 Support Drivers'!$D$12="Floor space",SUMIF('08 Allocation Data'!$A$5:$A$34,$A25,'08 Allocation Data'!$F$5:$F$34),IF('07 Support Drivers'!$D$12="Weighted floor space",SUMIF('08 Allocation Data'!$A$5:$A$34,$A25,'08 Allocation Data'!$I$5:$I$34),IF('07 Support Drivers'!$D$12="Cleaning hours",SUMIF('08 Allocation Data'!$A$5:$A$34,$A25,'08 Allocation Data'!$J$5:$J$34),IF('07 Support Drivers'!$D$12="Meals",SUMIF('08 Allocation Data'!$A$5:$A$34,$A25,'08 Allocation Data'!$K$5:$K$34),IF('07 Support Drivers'!$D$12="Direct costs",SUMIF('08 Allocation Data'!$A$5:$A$34,$A25,'08 Allocation Data'!$M$5:$M$34),0)))))))/'07 Support Drivers'!$G$12,0))</f>
        <v>0</v>
      </c>
      <c r="M25" s="55">
        <f>IF('07 Support Drivers'!$D$13="Two-stage finance",SUMIF('05 Support &amp; Income'!$A$5:$A$41,M$4,'05 Support &amp; Income'!$F$5:$F$41)*IF(SUMIF('08 Allocation Data'!$A$5:$A$34,$A25,'08 Allocation Data'!$L$5:$L$34)&gt;0,SUMIF('08 Allocation Data'!$A$5:$A$34,$A25,'08 Allocation Data'!$L$5:$L$34),IFERROR((1-SUM('08 Allocation Data'!$L$5:$L$34))*C25/SUMIFS($C$5:$C$34,'08 Allocation Data'!$L$5:$L$34,0),0)),IFERROR(SUMIF('05 Support &amp; Income'!$A$5:$A$41,M$4,'05 Support &amp; Income'!$F$5:$F$41)*IF('07 Support Drivers'!$D$13="Headcount",SUMIF('08 Allocation Data'!$A$5:$A$34,$A25,'08 Allocation Data'!$D$5:$D$34),IF('07 Support Drivers'!$D$13="FTE",SUMIF('08 Allocation Data'!$A$5:$A$34,$A25,'08 Allocation Data'!$E$5:$E$34),IF('07 Support Drivers'!$D$13="Floor space",SUMIF('08 Allocation Data'!$A$5:$A$34,$A25,'08 Allocation Data'!$F$5:$F$34),IF('07 Support Drivers'!$D$13="Weighted floor space",SUMIF('08 Allocation Data'!$A$5:$A$34,$A25,'08 Allocation Data'!$I$5:$I$34),IF('07 Support Drivers'!$D$13="Cleaning hours",SUMIF('08 Allocation Data'!$A$5:$A$34,$A25,'08 Allocation Data'!$J$5:$J$34),IF('07 Support Drivers'!$D$13="Meals",SUMIF('08 Allocation Data'!$A$5:$A$34,$A25,'08 Allocation Data'!$K$5:$K$34),IF('07 Support Drivers'!$D$13="Direct costs",SUMIF('08 Allocation Data'!$A$5:$A$34,$A25,'08 Allocation Data'!$M$5:$M$34),0)))))))/'07 Support Drivers'!$G$13,0))</f>
        <v>0</v>
      </c>
      <c r="N25" s="55">
        <f>IF('07 Support Drivers'!$D$14="Two-stage finance",SUMIF('05 Support &amp; Income'!$A$5:$A$41,N$4,'05 Support &amp; Income'!$F$5:$F$41)*IF(SUMIF('08 Allocation Data'!$A$5:$A$34,$A25,'08 Allocation Data'!$L$5:$L$34)&gt;0,SUMIF('08 Allocation Data'!$A$5:$A$34,$A25,'08 Allocation Data'!$L$5:$L$34),IFERROR((1-SUM('08 Allocation Data'!$L$5:$L$34))*C25/SUMIFS($C$5:$C$34,'08 Allocation Data'!$L$5:$L$34,0),0)),IFERROR(SUMIF('05 Support &amp; Income'!$A$5:$A$41,N$4,'05 Support &amp; Income'!$F$5:$F$41)*IF('07 Support Drivers'!$D$14="Headcount",SUMIF('08 Allocation Data'!$A$5:$A$34,$A25,'08 Allocation Data'!$D$5:$D$34),IF('07 Support Drivers'!$D$14="FTE",SUMIF('08 Allocation Data'!$A$5:$A$34,$A25,'08 Allocation Data'!$E$5:$E$34),IF('07 Support Drivers'!$D$14="Floor space",SUMIF('08 Allocation Data'!$A$5:$A$34,$A25,'08 Allocation Data'!$F$5:$F$34),IF('07 Support Drivers'!$D$14="Weighted floor space",SUMIF('08 Allocation Data'!$A$5:$A$34,$A25,'08 Allocation Data'!$I$5:$I$34),IF('07 Support Drivers'!$D$14="Cleaning hours",SUMIF('08 Allocation Data'!$A$5:$A$34,$A25,'08 Allocation Data'!$J$5:$J$34),IF('07 Support Drivers'!$D$14="Meals",SUMIF('08 Allocation Data'!$A$5:$A$34,$A25,'08 Allocation Data'!$K$5:$K$34),IF('07 Support Drivers'!$D$14="Direct costs",SUMIF('08 Allocation Data'!$A$5:$A$34,$A25,'08 Allocation Data'!$M$5:$M$34),0)))))))/'07 Support Drivers'!$G$14,0))</f>
        <v>0</v>
      </c>
      <c r="O25" s="55">
        <f>IF('07 Support Drivers'!$D$15="Two-stage finance",SUMIF('05 Support &amp; Income'!$A$5:$A$41,O$4,'05 Support &amp; Income'!$F$5:$F$41)*IF(SUMIF('08 Allocation Data'!$A$5:$A$34,$A25,'08 Allocation Data'!$L$5:$L$34)&gt;0,SUMIF('08 Allocation Data'!$A$5:$A$34,$A25,'08 Allocation Data'!$L$5:$L$34),IFERROR((1-SUM('08 Allocation Data'!$L$5:$L$34))*C25/SUMIFS($C$5:$C$34,'08 Allocation Data'!$L$5:$L$34,0),0)),IFERROR(SUMIF('05 Support &amp; Income'!$A$5:$A$41,O$4,'05 Support &amp; Income'!$F$5:$F$41)*IF('07 Support Drivers'!$D$15="Headcount",SUMIF('08 Allocation Data'!$A$5:$A$34,$A25,'08 Allocation Data'!$D$5:$D$34),IF('07 Support Drivers'!$D$15="FTE",SUMIF('08 Allocation Data'!$A$5:$A$34,$A25,'08 Allocation Data'!$E$5:$E$34),IF('07 Support Drivers'!$D$15="Floor space",SUMIF('08 Allocation Data'!$A$5:$A$34,$A25,'08 Allocation Data'!$F$5:$F$34),IF('07 Support Drivers'!$D$15="Weighted floor space",SUMIF('08 Allocation Data'!$A$5:$A$34,$A25,'08 Allocation Data'!$I$5:$I$34),IF('07 Support Drivers'!$D$15="Cleaning hours",SUMIF('08 Allocation Data'!$A$5:$A$34,$A25,'08 Allocation Data'!$J$5:$J$34),IF('07 Support Drivers'!$D$15="Meals",SUMIF('08 Allocation Data'!$A$5:$A$34,$A25,'08 Allocation Data'!$K$5:$K$34),IF('07 Support Drivers'!$D$15="Direct costs",SUMIF('08 Allocation Data'!$A$5:$A$34,$A25,'08 Allocation Data'!$M$5:$M$34),0)))))))/'07 Support Drivers'!$G$15,0))</f>
        <v>0</v>
      </c>
      <c r="P25" s="55">
        <f>IF('07 Support Drivers'!$D$16="Two-stage finance",SUMIF('05 Support &amp; Income'!$A$5:$A$41,P$4,'05 Support &amp; Income'!$F$5:$F$41)*IF(SUMIF('08 Allocation Data'!$A$5:$A$34,$A25,'08 Allocation Data'!$L$5:$L$34)&gt;0,SUMIF('08 Allocation Data'!$A$5:$A$34,$A25,'08 Allocation Data'!$L$5:$L$34),IFERROR((1-SUM('08 Allocation Data'!$L$5:$L$34))*C25/SUMIFS($C$5:$C$34,'08 Allocation Data'!$L$5:$L$34,0),0)),IFERROR(SUMIF('05 Support &amp; Income'!$A$5:$A$41,P$4,'05 Support &amp; Income'!$F$5:$F$41)*IF('07 Support Drivers'!$D$16="Headcount",SUMIF('08 Allocation Data'!$A$5:$A$34,$A25,'08 Allocation Data'!$D$5:$D$34),IF('07 Support Drivers'!$D$16="FTE",SUMIF('08 Allocation Data'!$A$5:$A$34,$A25,'08 Allocation Data'!$E$5:$E$34),IF('07 Support Drivers'!$D$16="Floor space",SUMIF('08 Allocation Data'!$A$5:$A$34,$A25,'08 Allocation Data'!$F$5:$F$34),IF('07 Support Drivers'!$D$16="Weighted floor space",SUMIF('08 Allocation Data'!$A$5:$A$34,$A25,'08 Allocation Data'!$I$5:$I$34),IF('07 Support Drivers'!$D$16="Cleaning hours",SUMIF('08 Allocation Data'!$A$5:$A$34,$A25,'08 Allocation Data'!$J$5:$J$34),IF('07 Support Drivers'!$D$16="Meals",SUMIF('08 Allocation Data'!$A$5:$A$34,$A25,'08 Allocation Data'!$K$5:$K$34),IF('07 Support Drivers'!$D$16="Direct costs",SUMIF('08 Allocation Data'!$A$5:$A$34,$A25,'08 Allocation Data'!$M$5:$M$34),0)))))))/'07 Support Drivers'!$G$16,0))</f>
        <v>0</v>
      </c>
      <c r="Q25" s="55">
        <f>IF('07 Support Drivers'!$D$17="Two-stage finance",SUMIF('05 Support &amp; Income'!$A$5:$A$41,Q$4,'05 Support &amp; Income'!$F$5:$F$41)*IF(SUMIF('08 Allocation Data'!$A$5:$A$34,$A25,'08 Allocation Data'!$L$5:$L$34)&gt;0,SUMIF('08 Allocation Data'!$A$5:$A$34,$A25,'08 Allocation Data'!$L$5:$L$34),IFERROR((1-SUM('08 Allocation Data'!$L$5:$L$34))*C25/SUMIFS($C$5:$C$34,'08 Allocation Data'!$L$5:$L$34,0),0)),IFERROR(SUMIF('05 Support &amp; Income'!$A$5:$A$41,Q$4,'05 Support &amp; Income'!$F$5:$F$41)*IF('07 Support Drivers'!$D$17="Headcount",SUMIF('08 Allocation Data'!$A$5:$A$34,$A25,'08 Allocation Data'!$D$5:$D$34),IF('07 Support Drivers'!$D$17="FTE",SUMIF('08 Allocation Data'!$A$5:$A$34,$A25,'08 Allocation Data'!$E$5:$E$34),IF('07 Support Drivers'!$D$17="Floor space",SUMIF('08 Allocation Data'!$A$5:$A$34,$A25,'08 Allocation Data'!$F$5:$F$34),IF('07 Support Drivers'!$D$17="Weighted floor space",SUMIF('08 Allocation Data'!$A$5:$A$34,$A25,'08 Allocation Data'!$I$5:$I$34),IF('07 Support Drivers'!$D$17="Cleaning hours",SUMIF('08 Allocation Data'!$A$5:$A$34,$A25,'08 Allocation Data'!$J$5:$J$34),IF('07 Support Drivers'!$D$17="Meals",SUMIF('08 Allocation Data'!$A$5:$A$34,$A25,'08 Allocation Data'!$K$5:$K$34),IF('07 Support Drivers'!$D$17="Direct costs",SUMIF('08 Allocation Data'!$A$5:$A$34,$A25,'08 Allocation Data'!$M$5:$M$34),0)))))))/'07 Support Drivers'!$G$17,0))</f>
        <v>0</v>
      </c>
      <c r="R25" s="48">
        <f t="shared" si="0"/>
        <v>0</v>
      </c>
      <c r="S25" s="48">
        <f>SUMIF('04 Service Costs'!$A$5:$A$31,A25,'04 Service Costs'!$M$5:$M$31)+SUMIF('06 Shared Cost Pools'!$D$21:$D$260,A25,'06 Shared Cost Pools'!$I$21:$I$260)</f>
        <v>0</v>
      </c>
      <c r="T25" s="48">
        <f>SUMIF('04 Service Costs'!$A$5:$A$31,A25,'04 Service Costs'!$N$5:$N$31)+SUMIF('06 Shared Cost Pools'!$D$21:$D$260,A25,'06 Shared Cost Pools'!$J$21:$J$260)</f>
        <v>0</v>
      </c>
      <c r="U25" s="48">
        <f>SUMIF('04 Service Costs'!$A$5:$A$31,A25,'04 Service Costs'!$O$5:$O$31)+SUMIF('06 Shared Cost Pools'!$D$21:$D$260,A25,'06 Shared Cost Pools'!$K$21:$K$260)</f>
        <v>0</v>
      </c>
      <c r="V25" s="48">
        <f t="shared" si="1"/>
        <v>0</v>
      </c>
    </row>
    <row r="26" spans="1:22">
      <c r="A26" s="3" t="s">
        <v>160</v>
      </c>
      <c r="B26" s="3" t="s">
        <v>161</v>
      </c>
      <c r="C26" s="55">
        <f>SUMIF('04 Service Costs'!$A$5:$A$31,A26,'04 Service Costs'!$L$5:$L$31)+SUMIF('05 Support &amp; Income'!$A$5:$A$41,A26,'05 Support &amp; Income'!$F$5:$F$41)</f>
        <v>0</v>
      </c>
      <c r="D26" s="55">
        <f>SUMIF('06 Shared Cost Pools'!$D$21:$D$260,A26,'06 Shared Cost Pools'!$F$21:$F$260)</f>
        <v>0</v>
      </c>
      <c r="E26" s="55">
        <f>IF('07 Support Drivers'!$D$5="Two-stage finance",SUMIF('05 Support &amp; Income'!$A$5:$A$41,E$4,'05 Support &amp; Income'!$F$5:$F$41)*IF(SUMIF('08 Allocation Data'!$A$5:$A$34,$A26,'08 Allocation Data'!$L$5:$L$34)&gt;0,SUMIF('08 Allocation Data'!$A$5:$A$34,$A26,'08 Allocation Data'!$L$5:$L$34),IFERROR((1-SUM('08 Allocation Data'!$L$5:$L$34))*C26/SUMIFS($C$5:$C$34,'08 Allocation Data'!$L$5:$L$34,0),0)),IFERROR(SUMIF('05 Support &amp; Income'!$A$5:$A$41,E$4,'05 Support &amp; Income'!$F$5:$F$41)*IF('07 Support Drivers'!$D$5="Headcount",SUMIF('08 Allocation Data'!$A$5:$A$34,$A26,'08 Allocation Data'!$D$5:$D$34),IF('07 Support Drivers'!$D$5="FTE",SUMIF('08 Allocation Data'!$A$5:$A$34,$A26,'08 Allocation Data'!$E$5:$E$34),IF('07 Support Drivers'!$D$5="Floor space",SUMIF('08 Allocation Data'!$A$5:$A$34,$A26,'08 Allocation Data'!$F$5:$F$34),IF('07 Support Drivers'!$D$5="Weighted floor space",SUMIF('08 Allocation Data'!$A$5:$A$34,$A26,'08 Allocation Data'!$I$5:$I$34),IF('07 Support Drivers'!$D$5="Cleaning hours",SUMIF('08 Allocation Data'!$A$5:$A$34,$A26,'08 Allocation Data'!$J$5:$J$34),IF('07 Support Drivers'!$D$5="Meals",SUMIF('08 Allocation Data'!$A$5:$A$34,$A26,'08 Allocation Data'!$K$5:$K$34),IF('07 Support Drivers'!$D$5="Direct costs",SUMIF('08 Allocation Data'!$A$5:$A$34,$A26,'08 Allocation Data'!$M$5:$M$34),0)))))))/'07 Support Drivers'!$G$5,0))</f>
        <v>0</v>
      </c>
      <c r="F26" s="55">
        <f>IF('07 Support Drivers'!$D$6="Two-stage finance",SUMIF('05 Support &amp; Income'!$A$5:$A$41,F$4,'05 Support &amp; Income'!$F$5:$F$41)*IF(SUMIF('08 Allocation Data'!$A$5:$A$34,$A26,'08 Allocation Data'!$L$5:$L$34)&gt;0,SUMIF('08 Allocation Data'!$A$5:$A$34,$A26,'08 Allocation Data'!$L$5:$L$34),IFERROR((1-SUM('08 Allocation Data'!$L$5:$L$34))*C26/SUMIFS($C$5:$C$34,'08 Allocation Data'!$L$5:$L$34,0),0)),IFERROR(SUMIF('05 Support &amp; Income'!$A$5:$A$41,F$4,'05 Support &amp; Income'!$F$5:$F$41)*IF('07 Support Drivers'!$D$6="Headcount",SUMIF('08 Allocation Data'!$A$5:$A$34,$A26,'08 Allocation Data'!$D$5:$D$34),IF('07 Support Drivers'!$D$6="FTE",SUMIF('08 Allocation Data'!$A$5:$A$34,$A26,'08 Allocation Data'!$E$5:$E$34),IF('07 Support Drivers'!$D$6="Floor space",SUMIF('08 Allocation Data'!$A$5:$A$34,$A26,'08 Allocation Data'!$F$5:$F$34),IF('07 Support Drivers'!$D$6="Weighted floor space",SUMIF('08 Allocation Data'!$A$5:$A$34,$A26,'08 Allocation Data'!$I$5:$I$34),IF('07 Support Drivers'!$D$6="Cleaning hours",SUMIF('08 Allocation Data'!$A$5:$A$34,$A26,'08 Allocation Data'!$J$5:$J$34),IF('07 Support Drivers'!$D$6="Meals",SUMIF('08 Allocation Data'!$A$5:$A$34,$A26,'08 Allocation Data'!$K$5:$K$34),IF('07 Support Drivers'!$D$6="Direct costs",SUMIF('08 Allocation Data'!$A$5:$A$34,$A26,'08 Allocation Data'!$M$5:$M$34),0)))))))/'07 Support Drivers'!$G$6,0))</f>
        <v>0</v>
      </c>
      <c r="G26" s="55">
        <f>IF('07 Support Drivers'!$D$7="Two-stage finance",SUMIF('05 Support &amp; Income'!$A$5:$A$41,G$4,'05 Support &amp; Income'!$F$5:$F$41)*IF(SUMIF('08 Allocation Data'!$A$5:$A$34,$A26,'08 Allocation Data'!$L$5:$L$34)&gt;0,SUMIF('08 Allocation Data'!$A$5:$A$34,$A26,'08 Allocation Data'!$L$5:$L$34),IFERROR((1-SUM('08 Allocation Data'!$L$5:$L$34))*C26/SUMIFS($C$5:$C$34,'08 Allocation Data'!$L$5:$L$34,0),0)),IFERROR(SUMIF('05 Support &amp; Income'!$A$5:$A$41,G$4,'05 Support &amp; Income'!$F$5:$F$41)*IF('07 Support Drivers'!$D$7="Headcount",SUMIF('08 Allocation Data'!$A$5:$A$34,$A26,'08 Allocation Data'!$D$5:$D$34),IF('07 Support Drivers'!$D$7="FTE",SUMIF('08 Allocation Data'!$A$5:$A$34,$A26,'08 Allocation Data'!$E$5:$E$34),IF('07 Support Drivers'!$D$7="Floor space",SUMIF('08 Allocation Data'!$A$5:$A$34,$A26,'08 Allocation Data'!$F$5:$F$34),IF('07 Support Drivers'!$D$7="Weighted floor space",SUMIF('08 Allocation Data'!$A$5:$A$34,$A26,'08 Allocation Data'!$I$5:$I$34),IF('07 Support Drivers'!$D$7="Cleaning hours",SUMIF('08 Allocation Data'!$A$5:$A$34,$A26,'08 Allocation Data'!$J$5:$J$34),IF('07 Support Drivers'!$D$7="Meals",SUMIF('08 Allocation Data'!$A$5:$A$34,$A26,'08 Allocation Data'!$K$5:$K$34),IF('07 Support Drivers'!$D$7="Direct costs",SUMIF('08 Allocation Data'!$A$5:$A$34,$A26,'08 Allocation Data'!$M$5:$M$34),0)))))))/'07 Support Drivers'!$G$7,0))</f>
        <v>0</v>
      </c>
      <c r="H26" s="55">
        <f>IF('07 Support Drivers'!$D$8="Two-stage finance",SUMIF('05 Support &amp; Income'!$A$5:$A$41,H$4,'05 Support &amp; Income'!$F$5:$F$41)*IF(SUMIF('08 Allocation Data'!$A$5:$A$34,$A26,'08 Allocation Data'!$L$5:$L$34)&gt;0,SUMIF('08 Allocation Data'!$A$5:$A$34,$A26,'08 Allocation Data'!$L$5:$L$34),IFERROR((1-SUM('08 Allocation Data'!$L$5:$L$34))*C26/SUMIFS($C$5:$C$34,'08 Allocation Data'!$L$5:$L$34,0),0)),IFERROR(SUMIF('05 Support &amp; Income'!$A$5:$A$41,H$4,'05 Support &amp; Income'!$F$5:$F$41)*IF('07 Support Drivers'!$D$8="Headcount",SUMIF('08 Allocation Data'!$A$5:$A$34,$A26,'08 Allocation Data'!$D$5:$D$34),IF('07 Support Drivers'!$D$8="FTE",SUMIF('08 Allocation Data'!$A$5:$A$34,$A26,'08 Allocation Data'!$E$5:$E$34),IF('07 Support Drivers'!$D$8="Floor space",SUMIF('08 Allocation Data'!$A$5:$A$34,$A26,'08 Allocation Data'!$F$5:$F$34),IF('07 Support Drivers'!$D$8="Weighted floor space",SUMIF('08 Allocation Data'!$A$5:$A$34,$A26,'08 Allocation Data'!$I$5:$I$34),IF('07 Support Drivers'!$D$8="Cleaning hours",SUMIF('08 Allocation Data'!$A$5:$A$34,$A26,'08 Allocation Data'!$J$5:$J$34),IF('07 Support Drivers'!$D$8="Meals",SUMIF('08 Allocation Data'!$A$5:$A$34,$A26,'08 Allocation Data'!$K$5:$K$34),IF('07 Support Drivers'!$D$8="Direct costs",SUMIF('08 Allocation Data'!$A$5:$A$34,$A26,'08 Allocation Data'!$M$5:$M$34),0)))))))/'07 Support Drivers'!$G$8,0))</f>
        <v>0</v>
      </c>
      <c r="I26" s="55">
        <f>IF('07 Support Drivers'!$D$9="Two-stage finance",SUMIF('05 Support &amp; Income'!$A$5:$A$41,I$4,'05 Support &amp; Income'!$F$5:$F$41)*IF(SUMIF('08 Allocation Data'!$A$5:$A$34,$A26,'08 Allocation Data'!$L$5:$L$34)&gt;0,SUMIF('08 Allocation Data'!$A$5:$A$34,$A26,'08 Allocation Data'!$L$5:$L$34),IFERROR((1-SUM('08 Allocation Data'!$L$5:$L$34))*C26/SUMIFS($C$5:$C$34,'08 Allocation Data'!$L$5:$L$34,0),0)),IFERROR(SUMIF('05 Support &amp; Income'!$A$5:$A$41,I$4,'05 Support &amp; Income'!$F$5:$F$41)*IF('07 Support Drivers'!$D$9="Headcount",SUMIF('08 Allocation Data'!$A$5:$A$34,$A26,'08 Allocation Data'!$D$5:$D$34),IF('07 Support Drivers'!$D$9="FTE",SUMIF('08 Allocation Data'!$A$5:$A$34,$A26,'08 Allocation Data'!$E$5:$E$34),IF('07 Support Drivers'!$D$9="Floor space",SUMIF('08 Allocation Data'!$A$5:$A$34,$A26,'08 Allocation Data'!$F$5:$F$34),IF('07 Support Drivers'!$D$9="Weighted floor space",SUMIF('08 Allocation Data'!$A$5:$A$34,$A26,'08 Allocation Data'!$I$5:$I$34),IF('07 Support Drivers'!$D$9="Cleaning hours",SUMIF('08 Allocation Data'!$A$5:$A$34,$A26,'08 Allocation Data'!$J$5:$J$34),IF('07 Support Drivers'!$D$9="Meals",SUMIF('08 Allocation Data'!$A$5:$A$34,$A26,'08 Allocation Data'!$K$5:$K$34),IF('07 Support Drivers'!$D$9="Direct costs",SUMIF('08 Allocation Data'!$A$5:$A$34,$A26,'08 Allocation Data'!$M$5:$M$34),0)))))))/'07 Support Drivers'!$G$9,0))</f>
        <v>0</v>
      </c>
      <c r="J26" s="55">
        <f>IF('07 Support Drivers'!$D$10="Two-stage finance",SUMIF('05 Support &amp; Income'!$A$5:$A$41,J$4,'05 Support &amp; Income'!$F$5:$F$41)*IF(SUMIF('08 Allocation Data'!$A$5:$A$34,$A26,'08 Allocation Data'!$L$5:$L$34)&gt;0,SUMIF('08 Allocation Data'!$A$5:$A$34,$A26,'08 Allocation Data'!$L$5:$L$34),IFERROR((1-SUM('08 Allocation Data'!$L$5:$L$34))*C26/SUMIFS($C$5:$C$34,'08 Allocation Data'!$L$5:$L$34,0),0)),IFERROR(SUMIF('05 Support &amp; Income'!$A$5:$A$41,J$4,'05 Support &amp; Income'!$F$5:$F$41)*IF('07 Support Drivers'!$D$10="Headcount",SUMIF('08 Allocation Data'!$A$5:$A$34,$A26,'08 Allocation Data'!$D$5:$D$34),IF('07 Support Drivers'!$D$10="FTE",SUMIF('08 Allocation Data'!$A$5:$A$34,$A26,'08 Allocation Data'!$E$5:$E$34),IF('07 Support Drivers'!$D$10="Floor space",SUMIF('08 Allocation Data'!$A$5:$A$34,$A26,'08 Allocation Data'!$F$5:$F$34),IF('07 Support Drivers'!$D$10="Weighted floor space",SUMIF('08 Allocation Data'!$A$5:$A$34,$A26,'08 Allocation Data'!$I$5:$I$34),IF('07 Support Drivers'!$D$10="Cleaning hours",SUMIF('08 Allocation Data'!$A$5:$A$34,$A26,'08 Allocation Data'!$J$5:$J$34),IF('07 Support Drivers'!$D$10="Meals",SUMIF('08 Allocation Data'!$A$5:$A$34,$A26,'08 Allocation Data'!$K$5:$K$34),IF('07 Support Drivers'!$D$10="Direct costs",SUMIF('08 Allocation Data'!$A$5:$A$34,$A26,'08 Allocation Data'!$M$5:$M$34),0)))))))/'07 Support Drivers'!$G$10,0))</f>
        <v>0</v>
      </c>
      <c r="K26" s="55">
        <f>IF('07 Support Drivers'!$D$11="Two-stage finance",SUMIF('05 Support &amp; Income'!$A$5:$A$41,K$4,'05 Support &amp; Income'!$F$5:$F$41)*IF(SUMIF('08 Allocation Data'!$A$5:$A$34,$A26,'08 Allocation Data'!$L$5:$L$34)&gt;0,SUMIF('08 Allocation Data'!$A$5:$A$34,$A26,'08 Allocation Data'!$L$5:$L$34),IFERROR((1-SUM('08 Allocation Data'!$L$5:$L$34))*C26/SUMIFS($C$5:$C$34,'08 Allocation Data'!$L$5:$L$34,0),0)),IFERROR(SUMIF('05 Support &amp; Income'!$A$5:$A$41,K$4,'05 Support &amp; Income'!$F$5:$F$41)*IF('07 Support Drivers'!$D$11="Headcount",SUMIF('08 Allocation Data'!$A$5:$A$34,$A26,'08 Allocation Data'!$D$5:$D$34),IF('07 Support Drivers'!$D$11="FTE",SUMIF('08 Allocation Data'!$A$5:$A$34,$A26,'08 Allocation Data'!$E$5:$E$34),IF('07 Support Drivers'!$D$11="Floor space",SUMIF('08 Allocation Data'!$A$5:$A$34,$A26,'08 Allocation Data'!$F$5:$F$34),IF('07 Support Drivers'!$D$11="Weighted floor space",SUMIF('08 Allocation Data'!$A$5:$A$34,$A26,'08 Allocation Data'!$I$5:$I$34),IF('07 Support Drivers'!$D$11="Cleaning hours",SUMIF('08 Allocation Data'!$A$5:$A$34,$A26,'08 Allocation Data'!$J$5:$J$34),IF('07 Support Drivers'!$D$11="Meals",SUMIF('08 Allocation Data'!$A$5:$A$34,$A26,'08 Allocation Data'!$K$5:$K$34),IF('07 Support Drivers'!$D$11="Direct costs",SUMIF('08 Allocation Data'!$A$5:$A$34,$A26,'08 Allocation Data'!$M$5:$M$34),0)))))))/'07 Support Drivers'!$G$11,0))</f>
        <v>0</v>
      </c>
      <c r="L26" s="55">
        <f>IF('07 Support Drivers'!$D$12="Two-stage finance",SUMIF('05 Support &amp; Income'!$A$5:$A$41,L$4,'05 Support &amp; Income'!$F$5:$F$41)*IF(SUMIF('08 Allocation Data'!$A$5:$A$34,$A26,'08 Allocation Data'!$L$5:$L$34)&gt;0,SUMIF('08 Allocation Data'!$A$5:$A$34,$A26,'08 Allocation Data'!$L$5:$L$34),IFERROR((1-SUM('08 Allocation Data'!$L$5:$L$34))*C26/SUMIFS($C$5:$C$34,'08 Allocation Data'!$L$5:$L$34,0),0)),IFERROR(SUMIF('05 Support &amp; Income'!$A$5:$A$41,L$4,'05 Support &amp; Income'!$F$5:$F$41)*IF('07 Support Drivers'!$D$12="Headcount",SUMIF('08 Allocation Data'!$A$5:$A$34,$A26,'08 Allocation Data'!$D$5:$D$34),IF('07 Support Drivers'!$D$12="FTE",SUMIF('08 Allocation Data'!$A$5:$A$34,$A26,'08 Allocation Data'!$E$5:$E$34),IF('07 Support Drivers'!$D$12="Floor space",SUMIF('08 Allocation Data'!$A$5:$A$34,$A26,'08 Allocation Data'!$F$5:$F$34),IF('07 Support Drivers'!$D$12="Weighted floor space",SUMIF('08 Allocation Data'!$A$5:$A$34,$A26,'08 Allocation Data'!$I$5:$I$34),IF('07 Support Drivers'!$D$12="Cleaning hours",SUMIF('08 Allocation Data'!$A$5:$A$34,$A26,'08 Allocation Data'!$J$5:$J$34),IF('07 Support Drivers'!$D$12="Meals",SUMIF('08 Allocation Data'!$A$5:$A$34,$A26,'08 Allocation Data'!$K$5:$K$34),IF('07 Support Drivers'!$D$12="Direct costs",SUMIF('08 Allocation Data'!$A$5:$A$34,$A26,'08 Allocation Data'!$M$5:$M$34),0)))))))/'07 Support Drivers'!$G$12,0))</f>
        <v>0</v>
      </c>
      <c r="M26" s="55">
        <f>IF('07 Support Drivers'!$D$13="Two-stage finance",SUMIF('05 Support &amp; Income'!$A$5:$A$41,M$4,'05 Support &amp; Income'!$F$5:$F$41)*IF(SUMIF('08 Allocation Data'!$A$5:$A$34,$A26,'08 Allocation Data'!$L$5:$L$34)&gt;0,SUMIF('08 Allocation Data'!$A$5:$A$34,$A26,'08 Allocation Data'!$L$5:$L$34),IFERROR((1-SUM('08 Allocation Data'!$L$5:$L$34))*C26/SUMIFS($C$5:$C$34,'08 Allocation Data'!$L$5:$L$34,0),0)),IFERROR(SUMIF('05 Support &amp; Income'!$A$5:$A$41,M$4,'05 Support &amp; Income'!$F$5:$F$41)*IF('07 Support Drivers'!$D$13="Headcount",SUMIF('08 Allocation Data'!$A$5:$A$34,$A26,'08 Allocation Data'!$D$5:$D$34),IF('07 Support Drivers'!$D$13="FTE",SUMIF('08 Allocation Data'!$A$5:$A$34,$A26,'08 Allocation Data'!$E$5:$E$34),IF('07 Support Drivers'!$D$13="Floor space",SUMIF('08 Allocation Data'!$A$5:$A$34,$A26,'08 Allocation Data'!$F$5:$F$34),IF('07 Support Drivers'!$D$13="Weighted floor space",SUMIF('08 Allocation Data'!$A$5:$A$34,$A26,'08 Allocation Data'!$I$5:$I$34),IF('07 Support Drivers'!$D$13="Cleaning hours",SUMIF('08 Allocation Data'!$A$5:$A$34,$A26,'08 Allocation Data'!$J$5:$J$34),IF('07 Support Drivers'!$D$13="Meals",SUMIF('08 Allocation Data'!$A$5:$A$34,$A26,'08 Allocation Data'!$K$5:$K$34),IF('07 Support Drivers'!$D$13="Direct costs",SUMIF('08 Allocation Data'!$A$5:$A$34,$A26,'08 Allocation Data'!$M$5:$M$34),0)))))))/'07 Support Drivers'!$G$13,0))</f>
        <v>0</v>
      </c>
      <c r="N26" s="55">
        <f>IF('07 Support Drivers'!$D$14="Two-stage finance",SUMIF('05 Support &amp; Income'!$A$5:$A$41,N$4,'05 Support &amp; Income'!$F$5:$F$41)*IF(SUMIF('08 Allocation Data'!$A$5:$A$34,$A26,'08 Allocation Data'!$L$5:$L$34)&gt;0,SUMIF('08 Allocation Data'!$A$5:$A$34,$A26,'08 Allocation Data'!$L$5:$L$34),IFERROR((1-SUM('08 Allocation Data'!$L$5:$L$34))*C26/SUMIFS($C$5:$C$34,'08 Allocation Data'!$L$5:$L$34,0),0)),IFERROR(SUMIF('05 Support &amp; Income'!$A$5:$A$41,N$4,'05 Support &amp; Income'!$F$5:$F$41)*IF('07 Support Drivers'!$D$14="Headcount",SUMIF('08 Allocation Data'!$A$5:$A$34,$A26,'08 Allocation Data'!$D$5:$D$34),IF('07 Support Drivers'!$D$14="FTE",SUMIF('08 Allocation Data'!$A$5:$A$34,$A26,'08 Allocation Data'!$E$5:$E$34),IF('07 Support Drivers'!$D$14="Floor space",SUMIF('08 Allocation Data'!$A$5:$A$34,$A26,'08 Allocation Data'!$F$5:$F$34),IF('07 Support Drivers'!$D$14="Weighted floor space",SUMIF('08 Allocation Data'!$A$5:$A$34,$A26,'08 Allocation Data'!$I$5:$I$34),IF('07 Support Drivers'!$D$14="Cleaning hours",SUMIF('08 Allocation Data'!$A$5:$A$34,$A26,'08 Allocation Data'!$J$5:$J$34),IF('07 Support Drivers'!$D$14="Meals",SUMIF('08 Allocation Data'!$A$5:$A$34,$A26,'08 Allocation Data'!$K$5:$K$34),IF('07 Support Drivers'!$D$14="Direct costs",SUMIF('08 Allocation Data'!$A$5:$A$34,$A26,'08 Allocation Data'!$M$5:$M$34),0)))))))/'07 Support Drivers'!$G$14,0))</f>
        <v>0</v>
      </c>
      <c r="O26" s="55">
        <f>IF('07 Support Drivers'!$D$15="Two-stage finance",SUMIF('05 Support &amp; Income'!$A$5:$A$41,O$4,'05 Support &amp; Income'!$F$5:$F$41)*IF(SUMIF('08 Allocation Data'!$A$5:$A$34,$A26,'08 Allocation Data'!$L$5:$L$34)&gt;0,SUMIF('08 Allocation Data'!$A$5:$A$34,$A26,'08 Allocation Data'!$L$5:$L$34),IFERROR((1-SUM('08 Allocation Data'!$L$5:$L$34))*C26/SUMIFS($C$5:$C$34,'08 Allocation Data'!$L$5:$L$34,0),0)),IFERROR(SUMIF('05 Support &amp; Income'!$A$5:$A$41,O$4,'05 Support &amp; Income'!$F$5:$F$41)*IF('07 Support Drivers'!$D$15="Headcount",SUMIF('08 Allocation Data'!$A$5:$A$34,$A26,'08 Allocation Data'!$D$5:$D$34),IF('07 Support Drivers'!$D$15="FTE",SUMIF('08 Allocation Data'!$A$5:$A$34,$A26,'08 Allocation Data'!$E$5:$E$34),IF('07 Support Drivers'!$D$15="Floor space",SUMIF('08 Allocation Data'!$A$5:$A$34,$A26,'08 Allocation Data'!$F$5:$F$34),IF('07 Support Drivers'!$D$15="Weighted floor space",SUMIF('08 Allocation Data'!$A$5:$A$34,$A26,'08 Allocation Data'!$I$5:$I$34),IF('07 Support Drivers'!$D$15="Cleaning hours",SUMIF('08 Allocation Data'!$A$5:$A$34,$A26,'08 Allocation Data'!$J$5:$J$34),IF('07 Support Drivers'!$D$15="Meals",SUMIF('08 Allocation Data'!$A$5:$A$34,$A26,'08 Allocation Data'!$K$5:$K$34),IF('07 Support Drivers'!$D$15="Direct costs",SUMIF('08 Allocation Data'!$A$5:$A$34,$A26,'08 Allocation Data'!$M$5:$M$34),0)))))))/'07 Support Drivers'!$G$15,0))</f>
        <v>0</v>
      </c>
      <c r="P26" s="55">
        <f>IF('07 Support Drivers'!$D$16="Two-stage finance",SUMIF('05 Support &amp; Income'!$A$5:$A$41,P$4,'05 Support &amp; Income'!$F$5:$F$41)*IF(SUMIF('08 Allocation Data'!$A$5:$A$34,$A26,'08 Allocation Data'!$L$5:$L$34)&gt;0,SUMIF('08 Allocation Data'!$A$5:$A$34,$A26,'08 Allocation Data'!$L$5:$L$34),IFERROR((1-SUM('08 Allocation Data'!$L$5:$L$34))*C26/SUMIFS($C$5:$C$34,'08 Allocation Data'!$L$5:$L$34,0),0)),IFERROR(SUMIF('05 Support &amp; Income'!$A$5:$A$41,P$4,'05 Support &amp; Income'!$F$5:$F$41)*IF('07 Support Drivers'!$D$16="Headcount",SUMIF('08 Allocation Data'!$A$5:$A$34,$A26,'08 Allocation Data'!$D$5:$D$34),IF('07 Support Drivers'!$D$16="FTE",SUMIF('08 Allocation Data'!$A$5:$A$34,$A26,'08 Allocation Data'!$E$5:$E$34),IF('07 Support Drivers'!$D$16="Floor space",SUMIF('08 Allocation Data'!$A$5:$A$34,$A26,'08 Allocation Data'!$F$5:$F$34),IF('07 Support Drivers'!$D$16="Weighted floor space",SUMIF('08 Allocation Data'!$A$5:$A$34,$A26,'08 Allocation Data'!$I$5:$I$34),IF('07 Support Drivers'!$D$16="Cleaning hours",SUMIF('08 Allocation Data'!$A$5:$A$34,$A26,'08 Allocation Data'!$J$5:$J$34),IF('07 Support Drivers'!$D$16="Meals",SUMIF('08 Allocation Data'!$A$5:$A$34,$A26,'08 Allocation Data'!$K$5:$K$34),IF('07 Support Drivers'!$D$16="Direct costs",SUMIF('08 Allocation Data'!$A$5:$A$34,$A26,'08 Allocation Data'!$M$5:$M$34),0)))))))/'07 Support Drivers'!$G$16,0))</f>
        <v>0</v>
      </c>
      <c r="Q26" s="55">
        <f>IF('07 Support Drivers'!$D$17="Two-stage finance",SUMIF('05 Support &amp; Income'!$A$5:$A$41,Q$4,'05 Support &amp; Income'!$F$5:$F$41)*IF(SUMIF('08 Allocation Data'!$A$5:$A$34,$A26,'08 Allocation Data'!$L$5:$L$34)&gt;0,SUMIF('08 Allocation Data'!$A$5:$A$34,$A26,'08 Allocation Data'!$L$5:$L$34),IFERROR((1-SUM('08 Allocation Data'!$L$5:$L$34))*C26/SUMIFS($C$5:$C$34,'08 Allocation Data'!$L$5:$L$34,0),0)),IFERROR(SUMIF('05 Support &amp; Income'!$A$5:$A$41,Q$4,'05 Support &amp; Income'!$F$5:$F$41)*IF('07 Support Drivers'!$D$17="Headcount",SUMIF('08 Allocation Data'!$A$5:$A$34,$A26,'08 Allocation Data'!$D$5:$D$34),IF('07 Support Drivers'!$D$17="FTE",SUMIF('08 Allocation Data'!$A$5:$A$34,$A26,'08 Allocation Data'!$E$5:$E$34),IF('07 Support Drivers'!$D$17="Floor space",SUMIF('08 Allocation Data'!$A$5:$A$34,$A26,'08 Allocation Data'!$F$5:$F$34),IF('07 Support Drivers'!$D$17="Weighted floor space",SUMIF('08 Allocation Data'!$A$5:$A$34,$A26,'08 Allocation Data'!$I$5:$I$34),IF('07 Support Drivers'!$D$17="Cleaning hours",SUMIF('08 Allocation Data'!$A$5:$A$34,$A26,'08 Allocation Data'!$J$5:$J$34),IF('07 Support Drivers'!$D$17="Meals",SUMIF('08 Allocation Data'!$A$5:$A$34,$A26,'08 Allocation Data'!$K$5:$K$34),IF('07 Support Drivers'!$D$17="Direct costs",SUMIF('08 Allocation Data'!$A$5:$A$34,$A26,'08 Allocation Data'!$M$5:$M$34),0)))))))/'07 Support Drivers'!$G$17,0))</f>
        <v>0</v>
      </c>
      <c r="R26" s="48">
        <f t="shared" si="0"/>
        <v>0</v>
      </c>
      <c r="S26" s="48">
        <f>SUMIF('04 Service Costs'!$A$5:$A$31,A26,'04 Service Costs'!$M$5:$M$31)+SUMIF('06 Shared Cost Pools'!$D$21:$D$260,A26,'06 Shared Cost Pools'!$I$21:$I$260)</f>
        <v>0</v>
      </c>
      <c r="T26" s="48">
        <f>SUMIF('04 Service Costs'!$A$5:$A$31,A26,'04 Service Costs'!$N$5:$N$31)+SUMIF('06 Shared Cost Pools'!$D$21:$D$260,A26,'06 Shared Cost Pools'!$J$21:$J$260)</f>
        <v>0</v>
      </c>
      <c r="U26" s="48">
        <f>SUMIF('04 Service Costs'!$A$5:$A$31,A26,'04 Service Costs'!$O$5:$O$31)+SUMIF('06 Shared Cost Pools'!$D$21:$D$260,A26,'06 Shared Cost Pools'!$K$21:$K$260)</f>
        <v>0</v>
      </c>
      <c r="V26" s="48">
        <f t="shared" si="1"/>
        <v>0</v>
      </c>
    </row>
    <row r="27" spans="1:22">
      <c r="A27" s="3" t="s">
        <v>162</v>
      </c>
      <c r="B27" s="3" t="s">
        <v>163</v>
      </c>
      <c r="C27" s="55">
        <f>SUMIF('04 Service Costs'!$A$5:$A$31,A27,'04 Service Costs'!$L$5:$L$31)+SUMIF('05 Support &amp; Income'!$A$5:$A$41,A27,'05 Support &amp; Income'!$F$5:$F$41)</f>
        <v>0</v>
      </c>
      <c r="D27" s="55">
        <f>SUMIF('06 Shared Cost Pools'!$D$21:$D$260,A27,'06 Shared Cost Pools'!$F$21:$F$260)</f>
        <v>0</v>
      </c>
      <c r="E27" s="55">
        <f>IF('07 Support Drivers'!$D$5="Two-stage finance",SUMIF('05 Support &amp; Income'!$A$5:$A$41,E$4,'05 Support &amp; Income'!$F$5:$F$41)*IF(SUMIF('08 Allocation Data'!$A$5:$A$34,$A27,'08 Allocation Data'!$L$5:$L$34)&gt;0,SUMIF('08 Allocation Data'!$A$5:$A$34,$A27,'08 Allocation Data'!$L$5:$L$34),IFERROR((1-SUM('08 Allocation Data'!$L$5:$L$34))*C27/SUMIFS($C$5:$C$34,'08 Allocation Data'!$L$5:$L$34,0),0)),IFERROR(SUMIF('05 Support &amp; Income'!$A$5:$A$41,E$4,'05 Support &amp; Income'!$F$5:$F$41)*IF('07 Support Drivers'!$D$5="Headcount",SUMIF('08 Allocation Data'!$A$5:$A$34,$A27,'08 Allocation Data'!$D$5:$D$34),IF('07 Support Drivers'!$D$5="FTE",SUMIF('08 Allocation Data'!$A$5:$A$34,$A27,'08 Allocation Data'!$E$5:$E$34),IF('07 Support Drivers'!$D$5="Floor space",SUMIF('08 Allocation Data'!$A$5:$A$34,$A27,'08 Allocation Data'!$F$5:$F$34),IF('07 Support Drivers'!$D$5="Weighted floor space",SUMIF('08 Allocation Data'!$A$5:$A$34,$A27,'08 Allocation Data'!$I$5:$I$34),IF('07 Support Drivers'!$D$5="Cleaning hours",SUMIF('08 Allocation Data'!$A$5:$A$34,$A27,'08 Allocation Data'!$J$5:$J$34),IF('07 Support Drivers'!$D$5="Meals",SUMIF('08 Allocation Data'!$A$5:$A$34,$A27,'08 Allocation Data'!$K$5:$K$34),IF('07 Support Drivers'!$D$5="Direct costs",SUMIF('08 Allocation Data'!$A$5:$A$34,$A27,'08 Allocation Data'!$M$5:$M$34),0)))))))/'07 Support Drivers'!$G$5,0))</f>
        <v>0</v>
      </c>
      <c r="F27" s="55">
        <f>IF('07 Support Drivers'!$D$6="Two-stage finance",SUMIF('05 Support &amp; Income'!$A$5:$A$41,F$4,'05 Support &amp; Income'!$F$5:$F$41)*IF(SUMIF('08 Allocation Data'!$A$5:$A$34,$A27,'08 Allocation Data'!$L$5:$L$34)&gt;0,SUMIF('08 Allocation Data'!$A$5:$A$34,$A27,'08 Allocation Data'!$L$5:$L$34),IFERROR((1-SUM('08 Allocation Data'!$L$5:$L$34))*C27/SUMIFS($C$5:$C$34,'08 Allocation Data'!$L$5:$L$34,0),0)),IFERROR(SUMIF('05 Support &amp; Income'!$A$5:$A$41,F$4,'05 Support &amp; Income'!$F$5:$F$41)*IF('07 Support Drivers'!$D$6="Headcount",SUMIF('08 Allocation Data'!$A$5:$A$34,$A27,'08 Allocation Data'!$D$5:$D$34),IF('07 Support Drivers'!$D$6="FTE",SUMIF('08 Allocation Data'!$A$5:$A$34,$A27,'08 Allocation Data'!$E$5:$E$34),IF('07 Support Drivers'!$D$6="Floor space",SUMIF('08 Allocation Data'!$A$5:$A$34,$A27,'08 Allocation Data'!$F$5:$F$34),IF('07 Support Drivers'!$D$6="Weighted floor space",SUMIF('08 Allocation Data'!$A$5:$A$34,$A27,'08 Allocation Data'!$I$5:$I$34),IF('07 Support Drivers'!$D$6="Cleaning hours",SUMIF('08 Allocation Data'!$A$5:$A$34,$A27,'08 Allocation Data'!$J$5:$J$34),IF('07 Support Drivers'!$D$6="Meals",SUMIF('08 Allocation Data'!$A$5:$A$34,$A27,'08 Allocation Data'!$K$5:$K$34),IF('07 Support Drivers'!$D$6="Direct costs",SUMIF('08 Allocation Data'!$A$5:$A$34,$A27,'08 Allocation Data'!$M$5:$M$34),0)))))))/'07 Support Drivers'!$G$6,0))</f>
        <v>0</v>
      </c>
      <c r="G27" s="55">
        <f>IF('07 Support Drivers'!$D$7="Two-stage finance",SUMIF('05 Support &amp; Income'!$A$5:$A$41,G$4,'05 Support &amp; Income'!$F$5:$F$41)*IF(SUMIF('08 Allocation Data'!$A$5:$A$34,$A27,'08 Allocation Data'!$L$5:$L$34)&gt;0,SUMIF('08 Allocation Data'!$A$5:$A$34,$A27,'08 Allocation Data'!$L$5:$L$34),IFERROR((1-SUM('08 Allocation Data'!$L$5:$L$34))*C27/SUMIFS($C$5:$C$34,'08 Allocation Data'!$L$5:$L$34,0),0)),IFERROR(SUMIF('05 Support &amp; Income'!$A$5:$A$41,G$4,'05 Support &amp; Income'!$F$5:$F$41)*IF('07 Support Drivers'!$D$7="Headcount",SUMIF('08 Allocation Data'!$A$5:$A$34,$A27,'08 Allocation Data'!$D$5:$D$34),IF('07 Support Drivers'!$D$7="FTE",SUMIF('08 Allocation Data'!$A$5:$A$34,$A27,'08 Allocation Data'!$E$5:$E$34),IF('07 Support Drivers'!$D$7="Floor space",SUMIF('08 Allocation Data'!$A$5:$A$34,$A27,'08 Allocation Data'!$F$5:$F$34),IF('07 Support Drivers'!$D$7="Weighted floor space",SUMIF('08 Allocation Data'!$A$5:$A$34,$A27,'08 Allocation Data'!$I$5:$I$34),IF('07 Support Drivers'!$D$7="Cleaning hours",SUMIF('08 Allocation Data'!$A$5:$A$34,$A27,'08 Allocation Data'!$J$5:$J$34),IF('07 Support Drivers'!$D$7="Meals",SUMIF('08 Allocation Data'!$A$5:$A$34,$A27,'08 Allocation Data'!$K$5:$K$34),IF('07 Support Drivers'!$D$7="Direct costs",SUMIF('08 Allocation Data'!$A$5:$A$34,$A27,'08 Allocation Data'!$M$5:$M$34),0)))))))/'07 Support Drivers'!$G$7,0))</f>
        <v>0</v>
      </c>
      <c r="H27" s="55">
        <f>IF('07 Support Drivers'!$D$8="Two-stage finance",SUMIF('05 Support &amp; Income'!$A$5:$A$41,H$4,'05 Support &amp; Income'!$F$5:$F$41)*IF(SUMIF('08 Allocation Data'!$A$5:$A$34,$A27,'08 Allocation Data'!$L$5:$L$34)&gt;0,SUMIF('08 Allocation Data'!$A$5:$A$34,$A27,'08 Allocation Data'!$L$5:$L$34),IFERROR((1-SUM('08 Allocation Data'!$L$5:$L$34))*C27/SUMIFS($C$5:$C$34,'08 Allocation Data'!$L$5:$L$34,0),0)),IFERROR(SUMIF('05 Support &amp; Income'!$A$5:$A$41,H$4,'05 Support &amp; Income'!$F$5:$F$41)*IF('07 Support Drivers'!$D$8="Headcount",SUMIF('08 Allocation Data'!$A$5:$A$34,$A27,'08 Allocation Data'!$D$5:$D$34),IF('07 Support Drivers'!$D$8="FTE",SUMIF('08 Allocation Data'!$A$5:$A$34,$A27,'08 Allocation Data'!$E$5:$E$34),IF('07 Support Drivers'!$D$8="Floor space",SUMIF('08 Allocation Data'!$A$5:$A$34,$A27,'08 Allocation Data'!$F$5:$F$34),IF('07 Support Drivers'!$D$8="Weighted floor space",SUMIF('08 Allocation Data'!$A$5:$A$34,$A27,'08 Allocation Data'!$I$5:$I$34),IF('07 Support Drivers'!$D$8="Cleaning hours",SUMIF('08 Allocation Data'!$A$5:$A$34,$A27,'08 Allocation Data'!$J$5:$J$34),IF('07 Support Drivers'!$D$8="Meals",SUMIF('08 Allocation Data'!$A$5:$A$34,$A27,'08 Allocation Data'!$K$5:$K$34),IF('07 Support Drivers'!$D$8="Direct costs",SUMIF('08 Allocation Data'!$A$5:$A$34,$A27,'08 Allocation Data'!$M$5:$M$34),0)))))))/'07 Support Drivers'!$G$8,0))</f>
        <v>0</v>
      </c>
      <c r="I27" s="55">
        <f>IF('07 Support Drivers'!$D$9="Two-stage finance",SUMIF('05 Support &amp; Income'!$A$5:$A$41,I$4,'05 Support &amp; Income'!$F$5:$F$41)*IF(SUMIF('08 Allocation Data'!$A$5:$A$34,$A27,'08 Allocation Data'!$L$5:$L$34)&gt;0,SUMIF('08 Allocation Data'!$A$5:$A$34,$A27,'08 Allocation Data'!$L$5:$L$34),IFERROR((1-SUM('08 Allocation Data'!$L$5:$L$34))*C27/SUMIFS($C$5:$C$34,'08 Allocation Data'!$L$5:$L$34,0),0)),IFERROR(SUMIF('05 Support &amp; Income'!$A$5:$A$41,I$4,'05 Support &amp; Income'!$F$5:$F$41)*IF('07 Support Drivers'!$D$9="Headcount",SUMIF('08 Allocation Data'!$A$5:$A$34,$A27,'08 Allocation Data'!$D$5:$D$34),IF('07 Support Drivers'!$D$9="FTE",SUMIF('08 Allocation Data'!$A$5:$A$34,$A27,'08 Allocation Data'!$E$5:$E$34),IF('07 Support Drivers'!$D$9="Floor space",SUMIF('08 Allocation Data'!$A$5:$A$34,$A27,'08 Allocation Data'!$F$5:$F$34),IF('07 Support Drivers'!$D$9="Weighted floor space",SUMIF('08 Allocation Data'!$A$5:$A$34,$A27,'08 Allocation Data'!$I$5:$I$34),IF('07 Support Drivers'!$D$9="Cleaning hours",SUMIF('08 Allocation Data'!$A$5:$A$34,$A27,'08 Allocation Data'!$J$5:$J$34),IF('07 Support Drivers'!$D$9="Meals",SUMIF('08 Allocation Data'!$A$5:$A$34,$A27,'08 Allocation Data'!$K$5:$K$34),IF('07 Support Drivers'!$D$9="Direct costs",SUMIF('08 Allocation Data'!$A$5:$A$34,$A27,'08 Allocation Data'!$M$5:$M$34),0)))))))/'07 Support Drivers'!$G$9,0))</f>
        <v>0</v>
      </c>
      <c r="J27" s="55">
        <f>IF('07 Support Drivers'!$D$10="Two-stage finance",SUMIF('05 Support &amp; Income'!$A$5:$A$41,J$4,'05 Support &amp; Income'!$F$5:$F$41)*IF(SUMIF('08 Allocation Data'!$A$5:$A$34,$A27,'08 Allocation Data'!$L$5:$L$34)&gt;0,SUMIF('08 Allocation Data'!$A$5:$A$34,$A27,'08 Allocation Data'!$L$5:$L$34),IFERROR((1-SUM('08 Allocation Data'!$L$5:$L$34))*C27/SUMIFS($C$5:$C$34,'08 Allocation Data'!$L$5:$L$34,0),0)),IFERROR(SUMIF('05 Support &amp; Income'!$A$5:$A$41,J$4,'05 Support &amp; Income'!$F$5:$F$41)*IF('07 Support Drivers'!$D$10="Headcount",SUMIF('08 Allocation Data'!$A$5:$A$34,$A27,'08 Allocation Data'!$D$5:$D$34),IF('07 Support Drivers'!$D$10="FTE",SUMIF('08 Allocation Data'!$A$5:$A$34,$A27,'08 Allocation Data'!$E$5:$E$34),IF('07 Support Drivers'!$D$10="Floor space",SUMIF('08 Allocation Data'!$A$5:$A$34,$A27,'08 Allocation Data'!$F$5:$F$34),IF('07 Support Drivers'!$D$10="Weighted floor space",SUMIF('08 Allocation Data'!$A$5:$A$34,$A27,'08 Allocation Data'!$I$5:$I$34),IF('07 Support Drivers'!$D$10="Cleaning hours",SUMIF('08 Allocation Data'!$A$5:$A$34,$A27,'08 Allocation Data'!$J$5:$J$34),IF('07 Support Drivers'!$D$10="Meals",SUMIF('08 Allocation Data'!$A$5:$A$34,$A27,'08 Allocation Data'!$K$5:$K$34),IF('07 Support Drivers'!$D$10="Direct costs",SUMIF('08 Allocation Data'!$A$5:$A$34,$A27,'08 Allocation Data'!$M$5:$M$34),0)))))))/'07 Support Drivers'!$G$10,0))</f>
        <v>0</v>
      </c>
      <c r="K27" s="55">
        <f>IF('07 Support Drivers'!$D$11="Two-stage finance",SUMIF('05 Support &amp; Income'!$A$5:$A$41,K$4,'05 Support &amp; Income'!$F$5:$F$41)*IF(SUMIF('08 Allocation Data'!$A$5:$A$34,$A27,'08 Allocation Data'!$L$5:$L$34)&gt;0,SUMIF('08 Allocation Data'!$A$5:$A$34,$A27,'08 Allocation Data'!$L$5:$L$34),IFERROR((1-SUM('08 Allocation Data'!$L$5:$L$34))*C27/SUMIFS($C$5:$C$34,'08 Allocation Data'!$L$5:$L$34,0),0)),IFERROR(SUMIF('05 Support &amp; Income'!$A$5:$A$41,K$4,'05 Support &amp; Income'!$F$5:$F$41)*IF('07 Support Drivers'!$D$11="Headcount",SUMIF('08 Allocation Data'!$A$5:$A$34,$A27,'08 Allocation Data'!$D$5:$D$34),IF('07 Support Drivers'!$D$11="FTE",SUMIF('08 Allocation Data'!$A$5:$A$34,$A27,'08 Allocation Data'!$E$5:$E$34),IF('07 Support Drivers'!$D$11="Floor space",SUMIF('08 Allocation Data'!$A$5:$A$34,$A27,'08 Allocation Data'!$F$5:$F$34),IF('07 Support Drivers'!$D$11="Weighted floor space",SUMIF('08 Allocation Data'!$A$5:$A$34,$A27,'08 Allocation Data'!$I$5:$I$34),IF('07 Support Drivers'!$D$11="Cleaning hours",SUMIF('08 Allocation Data'!$A$5:$A$34,$A27,'08 Allocation Data'!$J$5:$J$34),IF('07 Support Drivers'!$D$11="Meals",SUMIF('08 Allocation Data'!$A$5:$A$34,$A27,'08 Allocation Data'!$K$5:$K$34),IF('07 Support Drivers'!$D$11="Direct costs",SUMIF('08 Allocation Data'!$A$5:$A$34,$A27,'08 Allocation Data'!$M$5:$M$34),0)))))))/'07 Support Drivers'!$G$11,0))</f>
        <v>0</v>
      </c>
      <c r="L27" s="55">
        <f>IF('07 Support Drivers'!$D$12="Two-stage finance",SUMIF('05 Support &amp; Income'!$A$5:$A$41,L$4,'05 Support &amp; Income'!$F$5:$F$41)*IF(SUMIF('08 Allocation Data'!$A$5:$A$34,$A27,'08 Allocation Data'!$L$5:$L$34)&gt;0,SUMIF('08 Allocation Data'!$A$5:$A$34,$A27,'08 Allocation Data'!$L$5:$L$34),IFERROR((1-SUM('08 Allocation Data'!$L$5:$L$34))*C27/SUMIFS($C$5:$C$34,'08 Allocation Data'!$L$5:$L$34,0),0)),IFERROR(SUMIF('05 Support &amp; Income'!$A$5:$A$41,L$4,'05 Support &amp; Income'!$F$5:$F$41)*IF('07 Support Drivers'!$D$12="Headcount",SUMIF('08 Allocation Data'!$A$5:$A$34,$A27,'08 Allocation Data'!$D$5:$D$34),IF('07 Support Drivers'!$D$12="FTE",SUMIF('08 Allocation Data'!$A$5:$A$34,$A27,'08 Allocation Data'!$E$5:$E$34),IF('07 Support Drivers'!$D$12="Floor space",SUMIF('08 Allocation Data'!$A$5:$A$34,$A27,'08 Allocation Data'!$F$5:$F$34),IF('07 Support Drivers'!$D$12="Weighted floor space",SUMIF('08 Allocation Data'!$A$5:$A$34,$A27,'08 Allocation Data'!$I$5:$I$34),IF('07 Support Drivers'!$D$12="Cleaning hours",SUMIF('08 Allocation Data'!$A$5:$A$34,$A27,'08 Allocation Data'!$J$5:$J$34),IF('07 Support Drivers'!$D$12="Meals",SUMIF('08 Allocation Data'!$A$5:$A$34,$A27,'08 Allocation Data'!$K$5:$K$34),IF('07 Support Drivers'!$D$12="Direct costs",SUMIF('08 Allocation Data'!$A$5:$A$34,$A27,'08 Allocation Data'!$M$5:$M$34),0)))))))/'07 Support Drivers'!$G$12,0))</f>
        <v>0</v>
      </c>
      <c r="M27" s="55">
        <f>IF('07 Support Drivers'!$D$13="Two-stage finance",SUMIF('05 Support &amp; Income'!$A$5:$A$41,M$4,'05 Support &amp; Income'!$F$5:$F$41)*IF(SUMIF('08 Allocation Data'!$A$5:$A$34,$A27,'08 Allocation Data'!$L$5:$L$34)&gt;0,SUMIF('08 Allocation Data'!$A$5:$A$34,$A27,'08 Allocation Data'!$L$5:$L$34),IFERROR((1-SUM('08 Allocation Data'!$L$5:$L$34))*C27/SUMIFS($C$5:$C$34,'08 Allocation Data'!$L$5:$L$34,0),0)),IFERROR(SUMIF('05 Support &amp; Income'!$A$5:$A$41,M$4,'05 Support &amp; Income'!$F$5:$F$41)*IF('07 Support Drivers'!$D$13="Headcount",SUMIF('08 Allocation Data'!$A$5:$A$34,$A27,'08 Allocation Data'!$D$5:$D$34),IF('07 Support Drivers'!$D$13="FTE",SUMIF('08 Allocation Data'!$A$5:$A$34,$A27,'08 Allocation Data'!$E$5:$E$34),IF('07 Support Drivers'!$D$13="Floor space",SUMIF('08 Allocation Data'!$A$5:$A$34,$A27,'08 Allocation Data'!$F$5:$F$34),IF('07 Support Drivers'!$D$13="Weighted floor space",SUMIF('08 Allocation Data'!$A$5:$A$34,$A27,'08 Allocation Data'!$I$5:$I$34),IF('07 Support Drivers'!$D$13="Cleaning hours",SUMIF('08 Allocation Data'!$A$5:$A$34,$A27,'08 Allocation Data'!$J$5:$J$34),IF('07 Support Drivers'!$D$13="Meals",SUMIF('08 Allocation Data'!$A$5:$A$34,$A27,'08 Allocation Data'!$K$5:$K$34),IF('07 Support Drivers'!$D$13="Direct costs",SUMIF('08 Allocation Data'!$A$5:$A$34,$A27,'08 Allocation Data'!$M$5:$M$34),0)))))))/'07 Support Drivers'!$G$13,0))</f>
        <v>0</v>
      </c>
      <c r="N27" s="55">
        <f>IF('07 Support Drivers'!$D$14="Two-stage finance",SUMIF('05 Support &amp; Income'!$A$5:$A$41,N$4,'05 Support &amp; Income'!$F$5:$F$41)*IF(SUMIF('08 Allocation Data'!$A$5:$A$34,$A27,'08 Allocation Data'!$L$5:$L$34)&gt;0,SUMIF('08 Allocation Data'!$A$5:$A$34,$A27,'08 Allocation Data'!$L$5:$L$34),IFERROR((1-SUM('08 Allocation Data'!$L$5:$L$34))*C27/SUMIFS($C$5:$C$34,'08 Allocation Data'!$L$5:$L$34,0),0)),IFERROR(SUMIF('05 Support &amp; Income'!$A$5:$A$41,N$4,'05 Support &amp; Income'!$F$5:$F$41)*IF('07 Support Drivers'!$D$14="Headcount",SUMIF('08 Allocation Data'!$A$5:$A$34,$A27,'08 Allocation Data'!$D$5:$D$34),IF('07 Support Drivers'!$D$14="FTE",SUMIF('08 Allocation Data'!$A$5:$A$34,$A27,'08 Allocation Data'!$E$5:$E$34),IF('07 Support Drivers'!$D$14="Floor space",SUMIF('08 Allocation Data'!$A$5:$A$34,$A27,'08 Allocation Data'!$F$5:$F$34),IF('07 Support Drivers'!$D$14="Weighted floor space",SUMIF('08 Allocation Data'!$A$5:$A$34,$A27,'08 Allocation Data'!$I$5:$I$34),IF('07 Support Drivers'!$D$14="Cleaning hours",SUMIF('08 Allocation Data'!$A$5:$A$34,$A27,'08 Allocation Data'!$J$5:$J$34),IF('07 Support Drivers'!$D$14="Meals",SUMIF('08 Allocation Data'!$A$5:$A$34,$A27,'08 Allocation Data'!$K$5:$K$34),IF('07 Support Drivers'!$D$14="Direct costs",SUMIF('08 Allocation Data'!$A$5:$A$34,$A27,'08 Allocation Data'!$M$5:$M$34),0)))))))/'07 Support Drivers'!$G$14,0))</f>
        <v>0</v>
      </c>
      <c r="O27" s="55">
        <f>IF('07 Support Drivers'!$D$15="Two-stage finance",SUMIF('05 Support &amp; Income'!$A$5:$A$41,O$4,'05 Support &amp; Income'!$F$5:$F$41)*IF(SUMIF('08 Allocation Data'!$A$5:$A$34,$A27,'08 Allocation Data'!$L$5:$L$34)&gt;0,SUMIF('08 Allocation Data'!$A$5:$A$34,$A27,'08 Allocation Data'!$L$5:$L$34),IFERROR((1-SUM('08 Allocation Data'!$L$5:$L$34))*C27/SUMIFS($C$5:$C$34,'08 Allocation Data'!$L$5:$L$34,0),0)),IFERROR(SUMIF('05 Support &amp; Income'!$A$5:$A$41,O$4,'05 Support &amp; Income'!$F$5:$F$41)*IF('07 Support Drivers'!$D$15="Headcount",SUMIF('08 Allocation Data'!$A$5:$A$34,$A27,'08 Allocation Data'!$D$5:$D$34),IF('07 Support Drivers'!$D$15="FTE",SUMIF('08 Allocation Data'!$A$5:$A$34,$A27,'08 Allocation Data'!$E$5:$E$34),IF('07 Support Drivers'!$D$15="Floor space",SUMIF('08 Allocation Data'!$A$5:$A$34,$A27,'08 Allocation Data'!$F$5:$F$34),IF('07 Support Drivers'!$D$15="Weighted floor space",SUMIF('08 Allocation Data'!$A$5:$A$34,$A27,'08 Allocation Data'!$I$5:$I$34),IF('07 Support Drivers'!$D$15="Cleaning hours",SUMIF('08 Allocation Data'!$A$5:$A$34,$A27,'08 Allocation Data'!$J$5:$J$34),IF('07 Support Drivers'!$D$15="Meals",SUMIF('08 Allocation Data'!$A$5:$A$34,$A27,'08 Allocation Data'!$K$5:$K$34),IF('07 Support Drivers'!$D$15="Direct costs",SUMIF('08 Allocation Data'!$A$5:$A$34,$A27,'08 Allocation Data'!$M$5:$M$34),0)))))))/'07 Support Drivers'!$G$15,0))</f>
        <v>0</v>
      </c>
      <c r="P27" s="55">
        <f>IF('07 Support Drivers'!$D$16="Two-stage finance",SUMIF('05 Support &amp; Income'!$A$5:$A$41,P$4,'05 Support &amp; Income'!$F$5:$F$41)*IF(SUMIF('08 Allocation Data'!$A$5:$A$34,$A27,'08 Allocation Data'!$L$5:$L$34)&gt;0,SUMIF('08 Allocation Data'!$A$5:$A$34,$A27,'08 Allocation Data'!$L$5:$L$34),IFERROR((1-SUM('08 Allocation Data'!$L$5:$L$34))*C27/SUMIFS($C$5:$C$34,'08 Allocation Data'!$L$5:$L$34,0),0)),IFERROR(SUMIF('05 Support &amp; Income'!$A$5:$A$41,P$4,'05 Support &amp; Income'!$F$5:$F$41)*IF('07 Support Drivers'!$D$16="Headcount",SUMIF('08 Allocation Data'!$A$5:$A$34,$A27,'08 Allocation Data'!$D$5:$D$34),IF('07 Support Drivers'!$D$16="FTE",SUMIF('08 Allocation Data'!$A$5:$A$34,$A27,'08 Allocation Data'!$E$5:$E$34),IF('07 Support Drivers'!$D$16="Floor space",SUMIF('08 Allocation Data'!$A$5:$A$34,$A27,'08 Allocation Data'!$F$5:$F$34),IF('07 Support Drivers'!$D$16="Weighted floor space",SUMIF('08 Allocation Data'!$A$5:$A$34,$A27,'08 Allocation Data'!$I$5:$I$34),IF('07 Support Drivers'!$D$16="Cleaning hours",SUMIF('08 Allocation Data'!$A$5:$A$34,$A27,'08 Allocation Data'!$J$5:$J$34),IF('07 Support Drivers'!$D$16="Meals",SUMIF('08 Allocation Data'!$A$5:$A$34,$A27,'08 Allocation Data'!$K$5:$K$34),IF('07 Support Drivers'!$D$16="Direct costs",SUMIF('08 Allocation Data'!$A$5:$A$34,$A27,'08 Allocation Data'!$M$5:$M$34),0)))))))/'07 Support Drivers'!$G$16,0))</f>
        <v>0</v>
      </c>
      <c r="Q27" s="55">
        <f>IF('07 Support Drivers'!$D$17="Two-stage finance",SUMIF('05 Support &amp; Income'!$A$5:$A$41,Q$4,'05 Support &amp; Income'!$F$5:$F$41)*IF(SUMIF('08 Allocation Data'!$A$5:$A$34,$A27,'08 Allocation Data'!$L$5:$L$34)&gt;0,SUMIF('08 Allocation Data'!$A$5:$A$34,$A27,'08 Allocation Data'!$L$5:$L$34),IFERROR((1-SUM('08 Allocation Data'!$L$5:$L$34))*C27/SUMIFS($C$5:$C$34,'08 Allocation Data'!$L$5:$L$34,0),0)),IFERROR(SUMIF('05 Support &amp; Income'!$A$5:$A$41,Q$4,'05 Support &amp; Income'!$F$5:$F$41)*IF('07 Support Drivers'!$D$17="Headcount",SUMIF('08 Allocation Data'!$A$5:$A$34,$A27,'08 Allocation Data'!$D$5:$D$34),IF('07 Support Drivers'!$D$17="FTE",SUMIF('08 Allocation Data'!$A$5:$A$34,$A27,'08 Allocation Data'!$E$5:$E$34),IF('07 Support Drivers'!$D$17="Floor space",SUMIF('08 Allocation Data'!$A$5:$A$34,$A27,'08 Allocation Data'!$F$5:$F$34),IF('07 Support Drivers'!$D$17="Weighted floor space",SUMIF('08 Allocation Data'!$A$5:$A$34,$A27,'08 Allocation Data'!$I$5:$I$34),IF('07 Support Drivers'!$D$17="Cleaning hours",SUMIF('08 Allocation Data'!$A$5:$A$34,$A27,'08 Allocation Data'!$J$5:$J$34),IF('07 Support Drivers'!$D$17="Meals",SUMIF('08 Allocation Data'!$A$5:$A$34,$A27,'08 Allocation Data'!$K$5:$K$34),IF('07 Support Drivers'!$D$17="Direct costs",SUMIF('08 Allocation Data'!$A$5:$A$34,$A27,'08 Allocation Data'!$M$5:$M$34),0)))))))/'07 Support Drivers'!$G$17,0))</f>
        <v>0</v>
      </c>
      <c r="R27" s="48">
        <f t="shared" si="0"/>
        <v>0</v>
      </c>
      <c r="S27" s="48">
        <f>SUMIF('04 Service Costs'!$A$5:$A$31,A27,'04 Service Costs'!$M$5:$M$31)+SUMIF('06 Shared Cost Pools'!$D$21:$D$260,A27,'06 Shared Cost Pools'!$I$21:$I$260)</f>
        <v>0</v>
      </c>
      <c r="T27" s="48">
        <f>SUMIF('04 Service Costs'!$A$5:$A$31,A27,'04 Service Costs'!$N$5:$N$31)+SUMIF('06 Shared Cost Pools'!$D$21:$D$260,A27,'06 Shared Cost Pools'!$J$21:$J$260)</f>
        <v>0</v>
      </c>
      <c r="U27" s="48">
        <f>SUMIF('04 Service Costs'!$A$5:$A$31,A27,'04 Service Costs'!$O$5:$O$31)+SUMIF('06 Shared Cost Pools'!$D$21:$D$260,A27,'06 Shared Cost Pools'!$K$21:$K$260)</f>
        <v>0</v>
      </c>
      <c r="V27" s="48">
        <f t="shared" si="1"/>
        <v>0</v>
      </c>
    </row>
    <row r="28" spans="1:22">
      <c r="A28" s="3" t="s">
        <v>164</v>
      </c>
      <c r="B28" s="3" t="s">
        <v>167</v>
      </c>
      <c r="C28" s="55">
        <f>SUMIF('04 Service Costs'!$A$5:$A$31,A28,'04 Service Costs'!$L$5:$L$31)+SUMIF('05 Support &amp; Income'!$A$5:$A$41,A28,'05 Support &amp; Income'!$F$5:$F$41)</f>
        <v>0</v>
      </c>
      <c r="D28" s="55">
        <f>SUMIF('06 Shared Cost Pools'!$D$21:$D$260,A28,'06 Shared Cost Pools'!$F$21:$F$260)</f>
        <v>0</v>
      </c>
      <c r="E28" s="55">
        <f>IF('07 Support Drivers'!$D$5="Two-stage finance",SUMIF('05 Support &amp; Income'!$A$5:$A$41,E$4,'05 Support &amp; Income'!$F$5:$F$41)*IF(SUMIF('08 Allocation Data'!$A$5:$A$34,$A28,'08 Allocation Data'!$L$5:$L$34)&gt;0,SUMIF('08 Allocation Data'!$A$5:$A$34,$A28,'08 Allocation Data'!$L$5:$L$34),IFERROR((1-SUM('08 Allocation Data'!$L$5:$L$34))*C28/SUMIFS($C$5:$C$34,'08 Allocation Data'!$L$5:$L$34,0),0)),IFERROR(SUMIF('05 Support &amp; Income'!$A$5:$A$41,E$4,'05 Support &amp; Income'!$F$5:$F$41)*IF('07 Support Drivers'!$D$5="Headcount",SUMIF('08 Allocation Data'!$A$5:$A$34,$A28,'08 Allocation Data'!$D$5:$D$34),IF('07 Support Drivers'!$D$5="FTE",SUMIF('08 Allocation Data'!$A$5:$A$34,$A28,'08 Allocation Data'!$E$5:$E$34),IF('07 Support Drivers'!$D$5="Floor space",SUMIF('08 Allocation Data'!$A$5:$A$34,$A28,'08 Allocation Data'!$F$5:$F$34),IF('07 Support Drivers'!$D$5="Weighted floor space",SUMIF('08 Allocation Data'!$A$5:$A$34,$A28,'08 Allocation Data'!$I$5:$I$34),IF('07 Support Drivers'!$D$5="Cleaning hours",SUMIF('08 Allocation Data'!$A$5:$A$34,$A28,'08 Allocation Data'!$J$5:$J$34),IF('07 Support Drivers'!$D$5="Meals",SUMIF('08 Allocation Data'!$A$5:$A$34,$A28,'08 Allocation Data'!$K$5:$K$34),IF('07 Support Drivers'!$D$5="Direct costs",SUMIF('08 Allocation Data'!$A$5:$A$34,$A28,'08 Allocation Data'!$M$5:$M$34),0)))))))/'07 Support Drivers'!$G$5,0))</f>
        <v>0</v>
      </c>
      <c r="F28" s="55">
        <f>IF('07 Support Drivers'!$D$6="Two-stage finance",SUMIF('05 Support &amp; Income'!$A$5:$A$41,F$4,'05 Support &amp; Income'!$F$5:$F$41)*IF(SUMIF('08 Allocation Data'!$A$5:$A$34,$A28,'08 Allocation Data'!$L$5:$L$34)&gt;0,SUMIF('08 Allocation Data'!$A$5:$A$34,$A28,'08 Allocation Data'!$L$5:$L$34),IFERROR((1-SUM('08 Allocation Data'!$L$5:$L$34))*C28/SUMIFS($C$5:$C$34,'08 Allocation Data'!$L$5:$L$34,0),0)),IFERROR(SUMIF('05 Support &amp; Income'!$A$5:$A$41,F$4,'05 Support &amp; Income'!$F$5:$F$41)*IF('07 Support Drivers'!$D$6="Headcount",SUMIF('08 Allocation Data'!$A$5:$A$34,$A28,'08 Allocation Data'!$D$5:$D$34),IF('07 Support Drivers'!$D$6="FTE",SUMIF('08 Allocation Data'!$A$5:$A$34,$A28,'08 Allocation Data'!$E$5:$E$34),IF('07 Support Drivers'!$D$6="Floor space",SUMIF('08 Allocation Data'!$A$5:$A$34,$A28,'08 Allocation Data'!$F$5:$F$34),IF('07 Support Drivers'!$D$6="Weighted floor space",SUMIF('08 Allocation Data'!$A$5:$A$34,$A28,'08 Allocation Data'!$I$5:$I$34),IF('07 Support Drivers'!$D$6="Cleaning hours",SUMIF('08 Allocation Data'!$A$5:$A$34,$A28,'08 Allocation Data'!$J$5:$J$34),IF('07 Support Drivers'!$D$6="Meals",SUMIF('08 Allocation Data'!$A$5:$A$34,$A28,'08 Allocation Data'!$K$5:$K$34),IF('07 Support Drivers'!$D$6="Direct costs",SUMIF('08 Allocation Data'!$A$5:$A$34,$A28,'08 Allocation Data'!$M$5:$M$34),0)))))))/'07 Support Drivers'!$G$6,0))</f>
        <v>0</v>
      </c>
      <c r="G28" s="55">
        <f>IF('07 Support Drivers'!$D$7="Two-stage finance",SUMIF('05 Support &amp; Income'!$A$5:$A$41,G$4,'05 Support &amp; Income'!$F$5:$F$41)*IF(SUMIF('08 Allocation Data'!$A$5:$A$34,$A28,'08 Allocation Data'!$L$5:$L$34)&gt;0,SUMIF('08 Allocation Data'!$A$5:$A$34,$A28,'08 Allocation Data'!$L$5:$L$34),IFERROR((1-SUM('08 Allocation Data'!$L$5:$L$34))*C28/SUMIFS($C$5:$C$34,'08 Allocation Data'!$L$5:$L$34,0),0)),IFERROR(SUMIF('05 Support &amp; Income'!$A$5:$A$41,G$4,'05 Support &amp; Income'!$F$5:$F$41)*IF('07 Support Drivers'!$D$7="Headcount",SUMIF('08 Allocation Data'!$A$5:$A$34,$A28,'08 Allocation Data'!$D$5:$D$34),IF('07 Support Drivers'!$D$7="FTE",SUMIF('08 Allocation Data'!$A$5:$A$34,$A28,'08 Allocation Data'!$E$5:$E$34),IF('07 Support Drivers'!$D$7="Floor space",SUMIF('08 Allocation Data'!$A$5:$A$34,$A28,'08 Allocation Data'!$F$5:$F$34),IF('07 Support Drivers'!$D$7="Weighted floor space",SUMIF('08 Allocation Data'!$A$5:$A$34,$A28,'08 Allocation Data'!$I$5:$I$34),IF('07 Support Drivers'!$D$7="Cleaning hours",SUMIF('08 Allocation Data'!$A$5:$A$34,$A28,'08 Allocation Data'!$J$5:$J$34),IF('07 Support Drivers'!$D$7="Meals",SUMIF('08 Allocation Data'!$A$5:$A$34,$A28,'08 Allocation Data'!$K$5:$K$34),IF('07 Support Drivers'!$D$7="Direct costs",SUMIF('08 Allocation Data'!$A$5:$A$34,$A28,'08 Allocation Data'!$M$5:$M$34),0)))))))/'07 Support Drivers'!$G$7,0))</f>
        <v>0</v>
      </c>
      <c r="H28" s="55">
        <f>IF('07 Support Drivers'!$D$8="Two-stage finance",SUMIF('05 Support &amp; Income'!$A$5:$A$41,H$4,'05 Support &amp; Income'!$F$5:$F$41)*IF(SUMIF('08 Allocation Data'!$A$5:$A$34,$A28,'08 Allocation Data'!$L$5:$L$34)&gt;0,SUMIF('08 Allocation Data'!$A$5:$A$34,$A28,'08 Allocation Data'!$L$5:$L$34),IFERROR((1-SUM('08 Allocation Data'!$L$5:$L$34))*C28/SUMIFS($C$5:$C$34,'08 Allocation Data'!$L$5:$L$34,0),0)),IFERROR(SUMIF('05 Support &amp; Income'!$A$5:$A$41,H$4,'05 Support &amp; Income'!$F$5:$F$41)*IF('07 Support Drivers'!$D$8="Headcount",SUMIF('08 Allocation Data'!$A$5:$A$34,$A28,'08 Allocation Data'!$D$5:$D$34),IF('07 Support Drivers'!$D$8="FTE",SUMIF('08 Allocation Data'!$A$5:$A$34,$A28,'08 Allocation Data'!$E$5:$E$34),IF('07 Support Drivers'!$D$8="Floor space",SUMIF('08 Allocation Data'!$A$5:$A$34,$A28,'08 Allocation Data'!$F$5:$F$34),IF('07 Support Drivers'!$D$8="Weighted floor space",SUMIF('08 Allocation Data'!$A$5:$A$34,$A28,'08 Allocation Data'!$I$5:$I$34),IF('07 Support Drivers'!$D$8="Cleaning hours",SUMIF('08 Allocation Data'!$A$5:$A$34,$A28,'08 Allocation Data'!$J$5:$J$34),IF('07 Support Drivers'!$D$8="Meals",SUMIF('08 Allocation Data'!$A$5:$A$34,$A28,'08 Allocation Data'!$K$5:$K$34),IF('07 Support Drivers'!$D$8="Direct costs",SUMIF('08 Allocation Data'!$A$5:$A$34,$A28,'08 Allocation Data'!$M$5:$M$34),0)))))))/'07 Support Drivers'!$G$8,0))</f>
        <v>0</v>
      </c>
      <c r="I28" s="55">
        <f>IF('07 Support Drivers'!$D$9="Two-stage finance",SUMIF('05 Support &amp; Income'!$A$5:$A$41,I$4,'05 Support &amp; Income'!$F$5:$F$41)*IF(SUMIF('08 Allocation Data'!$A$5:$A$34,$A28,'08 Allocation Data'!$L$5:$L$34)&gt;0,SUMIF('08 Allocation Data'!$A$5:$A$34,$A28,'08 Allocation Data'!$L$5:$L$34),IFERROR((1-SUM('08 Allocation Data'!$L$5:$L$34))*C28/SUMIFS($C$5:$C$34,'08 Allocation Data'!$L$5:$L$34,0),0)),IFERROR(SUMIF('05 Support &amp; Income'!$A$5:$A$41,I$4,'05 Support &amp; Income'!$F$5:$F$41)*IF('07 Support Drivers'!$D$9="Headcount",SUMIF('08 Allocation Data'!$A$5:$A$34,$A28,'08 Allocation Data'!$D$5:$D$34),IF('07 Support Drivers'!$D$9="FTE",SUMIF('08 Allocation Data'!$A$5:$A$34,$A28,'08 Allocation Data'!$E$5:$E$34),IF('07 Support Drivers'!$D$9="Floor space",SUMIF('08 Allocation Data'!$A$5:$A$34,$A28,'08 Allocation Data'!$F$5:$F$34),IF('07 Support Drivers'!$D$9="Weighted floor space",SUMIF('08 Allocation Data'!$A$5:$A$34,$A28,'08 Allocation Data'!$I$5:$I$34),IF('07 Support Drivers'!$D$9="Cleaning hours",SUMIF('08 Allocation Data'!$A$5:$A$34,$A28,'08 Allocation Data'!$J$5:$J$34),IF('07 Support Drivers'!$D$9="Meals",SUMIF('08 Allocation Data'!$A$5:$A$34,$A28,'08 Allocation Data'!$K$5:$K$34),IF('07 Support Drivers'!$D$9="Direct costs",SUMIF('08 Allocation Data'!$A$5:$A$34,$A28,'08 Allocation Data'!$M$5:$M$34),0)))))))/'07 Support Drivers'!$G$9,0))</f>
        <v>0</v>
      </c>
      <c r="J28" s="55">
        <f>IF('07 Support Drivers'!$D$10="Two-stage finance",SUMIF('05 Support &amp; Income'!$A$5:$A$41,J$4,'05 Support &amp; Income'!$F$5:$F$41)*IF(SUMIF('08 Allocation Data'!$A$5:$A$34,$A28,'08 Allocation Data'!$L$5:$L$34)&gt;0,SUMIF('08 Allocation Data'!$A$5:$A$34,$A28,'08 Allocation Data'!$L$5:$L$34),IFERROR((1-SUM('08 Allocation Data'!$L$5:$L$34))*C28/SUMIFS($C$5:$C$34,'08 Allocation Data'!$L$5:$L$34,0),0)),IFERROR(SUMIF('05 Support &amp; Income'!$A$5:$A$41,J$4,'05 Support &amp; Income'!$F$5:$F$41)*IF('07 Support Drivers'!$D$10="Headcount",SUMIF('08 Allocation Data'!$A$5:$A$34,$A28,'08 Allocation Data'!$D$5:$D$34),IF('07 Support Drivers'!$D$10="FTE",SUMIF('08 Allocation Data'!$A$5:$A$34,$A28,'08 Allocation Data'!$E$5:$E$34),IF('07 Support Drivers'!$D$10="Floor space",SUMIF('08 Allocation Data'!$A$5:$A$34,$A28,'08 Allocation Data'!$F$5:$F$34),IF('07 Support Drivers'!$D$10="Weighted floor space",SUMIF('08 Allocation Data'!$A$5:$A$34,$A28,'08 Allocation Data'!$I$5:$I$34),IF('07 Support Drivers'!$D$10="Cleaning hours",SUMIF('08 Allocation Data'!$A$5:$A$34,$A28,'08 Allocation Data'!$J$5:$J$34),IF('07 Support Drivers'!$D$10="Meals",SUMIF('08 Allocation Data'!$A$5:$A$34,$A28,'08 Allocation Data'!$K$5:$K$34),IF('07 Support Drivers'!$D$10="Direct costs",SUMIF('08 Allocation Data'!$A$5:$A$34,$A28,'08 Allocation Data'!$M$5:$M$34),0)))))))/'07 Support Drivers'!$G$10,0))</f>
        <v>0</v>
      </c>
      <c r="K28" s="55">
        <f>IF('07 Support Drivers'!$D$11="Two-stage finance",SUMIF('05 Support &amp; Income'!$A$5:$A$41,K$4,'05 Support &amp; Income'!$F$5:$F$41)*IF(SUMIF('08 Allocation Data'!$A$5:$A$34,$A28,'08 Allocation Data'!$L$5:$L$34)&gt;0,SUMIF('08 Allocation Data'!$A$5:$A$34,$A28,'08 Allocation Data'!$L$5:$L$34),IFERROR((1-SUM('08 Allocation Data'!$L$5:$L$34))*C28/SUMIFS($C$5:$C$34,'08 Allocation Data'!$L$5:$L$34,0),0)),IFERROR(SUMIF('05 Support &amp; Income'!$A$5:$A$41,K$4,'05 Support &amp; Income'!$F$5:$F$41)*IF('07 Support Drivers'!$D$11="Headcount",SUMIF('08 Allocation Data'!$A$5:$A$34,$A28,'08 Allocation Data'!$D$5:$D$34),IF('07 Support Drivers'!$D$11="FTE",SUMIF('08 Allocation Data'!$A$5:$A$34,$A28,'08 Allocation Data'!$E$5:$E$34),IF('07 Support Drivers'!$D$11="Floor space",SUMIF('08 Allocation Data'!$A$5:$A$34,$A28,'08 Allocation Data'!$F$5:$F$34),IF('07 Support Drivers'!$D$11="Weighted floor space",SUMIF('08 Allocation Data'!$A$5:$A$34,$A28,'08 Allocation Data'!$I$5:$I$34),IF('07 Support Drivers'!$D$11="Cleaning hours",SUMIF('08 Allocation Data'!$A$5:$A$34,$A28,'08 Allocation Data'!$J$5:$J$34),IF('07 Support Drivers'!$D$11="Meals",SUMIF('08 Allocation Data'!$A$5:$A$34,$A28,'08 Allocation Data'!$K$5:$K$34),IF('07 Support Drivers'!$D$11="Direct costs",SUMIF('08 Allocation Data'!$A$5:$A$34,$A28,'08 Allocation Data'!$M$5:$M$34),0)))))))/'07 Support Drivers'!$G$11,0))</f>
        <v>0</v>
      </c>
      <c r="L28" s="55">
        <f>IF('07 Support Drivers'!$D$12="Two-stage finance",SUMIF('05 Support &amp; Income'!$A$5:$A$41,L$4,'05 Support &amp; Income'!$F$5:$F$41)*IF(SUMIF('08 Allocation Data'!$A$5:$A$34,$A28,'08 Allocation Data'!$L$5:$L$34)&gt;0,SUMIF('08 Allocation Data'!$A$5:$A$34,$A28,'08 Allocation Data'!$L$5:$L$34),IFERROR((1-SUM('08 Allocation Data'!$L$5:$L$34))*C28/SUMIFS($C$5:$C$34,'08 Allocation Data'!$L$5:$L$34,0),0)),IFERROR(SUMIF('05 Support &amp; Income'!$A$5:$A$41,L$4,'05 Support &amp; Income'!$F$5:$F$41)*IF('07 Support Drivers'!$D$12="Headcount",SUMIF('08 Allocation Data'!$A$5:$A$34,$A28,'08 Allocation Data'!$D$5:$D$34),IF('07 Support Drivers'!$D$12="FTE",SUMIF('08 Allocation Data'!$A$5:$A$34,$A28,'08 Allocation Data'!$E$5:$E$34),IF('07 Support Drivers'!$D$12="Floor space",SUMIF('08 Allocation Data'!$A$5:$A$34,$A28,'08 Allocation Data'!$F$5:$F$34),IF('07 Support Drivers'!$D$12="Weighted floor space",SUMIF('08 Allocation Data'!$A$5:$A$34,$A28,'08 Allocation Data'!$I$5:$I$34),IF('07 Support Drivers'!$D$12="Cleaning hours",SUMIF('08 Allocation Data'!$A$5:$A$34,$A28,'08 Allocation Data'!$J$5:$J$34),IF('07 Support Drivers'!$D$12="Meals",SUMIF('08 Allocation Data'!$A$5:$A$34,$A28,'08 Allocation Data'!$K$5:$K$34),IF('07 Support Drivers'!$D$12="Direct costs",SUMIF('08 Allocation Data'!$A$5:$A$34,$A28,'08 Allocation Data'!$M$5:$M$34),0)))))))/'07 Support Drivers'!$G$12,0))</f>
        <v>0</v>
      </c>
      <c r="M28" s="55">
        <f>IF('07 Support Drivers'!$D$13="Two-stage finance",SUMIF('05 Support &amp; Income'!$A$5:$A$41,M$4,'05 Support &amp; Income'!$F$5:$F$41)*IF(SUMIF('08 Allocation Data'!$A$5:$A$34,$A28,'08 Allocation Data'!$L$5:$L$34)&gt;0,SUMIF('08 Allocation Data'!$A$5:$A$34,$A28,'08 Allocation Data'!$L$5:$L$34),IFERROR((1-SUM('08 Allocation Data'!$L$5:$L$34))*C28/SUMIFS($C$5:$C$34,'08 Allocation Data'!$L$5:$L$34,0),0)),IFERROR(SUMIF('05 Support &amp; Income'!$A$5:$A$41,M$4,'05 Support &amp; Income'!$F$5:$F$41)*IF('07 Support Drivers'!$D$13="Headcount",SUMIF('08 Allocation Data'!$A$5:$A$34,$A28,'08 Allocation Data'!$D$5:$D$34),IF('07 Support Drivers'!$D$13="FTE",SUMIF('08 Allocation Data'!$A$5:$A$34,$A28,'08 Allocation Data'!$E$5:$E$34),IF('07 Support Drivers'!$D$13="Floor space",SUMIF('08 Allocation Data'!$A$5:$A$34,$A28,'08 Allocation Data'!$F$5:$F$34),IF('07 Support Drivers'!$D$13="Weighted floor space",SUMIF('08 Allocation Data'!$A$5:$A$34,$A28,'08 Allocation Data'!$I$5:$I$34),IF('07 Support Drivers'!$D$13="Cleaning hours",SUMIF('08 Allocation Data'!$A$5:$A$34,$A28,'08 Allocation Data'!$J$5:$J$34),IF('07 Support Drivers'!$D$13="Meals",SUMIF('08 Allocation Data'!$A$5:$A$34,$A28,'08 Allocation Data'!$K$5:$K$34),IF('07 Support Drivers'!$D$13="Direct costs",SUMIF('08 Allocation Data'!$A$5:$A$34,$A28,'08 Allocation Data'!$M$5:$M$34),0)))))))/'07 Support Drivers'!$G$13,0))</f>
        <v>0</v>
      </c>
      <c r="N28" s="55">
        <f>IF('07 Support Drivers'!$D$14="Two-stage finance",SUMIF('05 Support &amp; Income'!$A$5:$A$41,N$4,'05 Support &amp; Income'!$F$5:$F$41)*IF(SUMIF('08 Allocation Data'!$A$5:$A$34,$A28,'08 Allocation Data'!$L$5:$L$34)&gt;0,SUMIF('08 Allocation Data'!$A$5:$A$34,$A28,'08 Allocation Data'!$L$5:$L$34),IFERROR((1-SUM('08 Allocation Data'!$L$5:$L$34))*C28/SUMIFS($C$5:$C$34,'08 Allocation Data'!$L$5:$L$34,0),0)),IFERROR(SUMIF('05 Support &amp; Income'!$A$5:$A$41,N$4,'05 Support &amp; Income'!$F$5:$F$41)*IF('07 Support Drivers'!$D$14="Headcount",SUMIF('08 Allocation Data'!$A$5:$A$34,$A28,'08 Allocation Data'!$D$5:$D$34),IF('07 Support Drivers'!$D$14="FTE",SUMIF('08 Allocation Data'!$A$5:$A$34,$A28,'08 Allocation Data'!$E$5:$E$34),IF('07 Support Drivers'!$D$14="Floor space",SUMIF('08 Allocation Data'!$A$5:$A$34,$A28,'08 Allocation Data'!$F$5:$F$34),IF('07 Support Drivers'!$D$14="Weighted floor space",SUMIF('08 Allocation Data'!$A$5:$A$34,$A28,'08 Allocation Data'!$I$5:$I$34),IF('07 Support Drivers'!$D$14="Cleaning hours",SUMIF('08 Allocation Data'!$A$5:$A$34,$A28,'08 Allocation Data'!$J$5:$J$34),IF('07 Support Drivers'!$D$14="Meals",SUMIF('08 Allocation Data'!$A$5:$A$34,$A28,'08 Allocation Data'!$K$5:$K$34),IF('07 Support Drivers'!$D$14="Direct costs",SUMIF('08 Allocation Data'!$A$5:$A$34,$A28,'08 Allocation Data'!$M$5:$M$34),0)))))))/'07 Support Drivers'!$G$14,0))</f>
        <v>0</v>
      </c>
      <c r="O28" s="55">
        <f>IF('07 Support Drivers'!$D$15="Two-stage finance",SUMIF('05 Support &amp; Income'!$A$5:$A$41,O$4,'05 Support &amp; Income'!$F$5:$F$41)*IF(SUMIF('08 Allocation Data'!$A$5:$A$34,$A28,'08 Allocation Data'!$L$5:$L$34)&gt;0,SUMIF('08 Allocation Data'!$A$5:$A$34,$A28,'08 Allocation Data'!$L$5:$L$34),IFERROR((1-SUM('08 Allocation Data'!$L$5:$L$34))*C28/SUMIFS($C$5:$C$34,'08 Allocation Data'!$L$5:$L$34,0),0)),IFERROR(SUMIF('05 Support &amp; Income'!$A$5:$A$41,O$4,'05 Support &amp; Income'!$F$5:$F$41)*IF('07 Support Drivers'!$D$15="Headcount",SUMIF('08 Allocation Data'!$A$5:$A$34,$A28,'08 Allocation Data'!$D$5:$D$34),IF('07 Support Drivers'!$D$15="FTE",SUMIF('08 Allocation Data'!$A$5:$A$34,$A28,'08 Allocation Data'!$E$5:$E$34),IF('07 Support Drivers'!$D$15="Floor space",SUMIF('08 Allocation Data'!$A$5:$A$34,$A28,'08 Allocation Data'!$F$5:$F$34),IF('07 Support Drivers'!$D$15="Weighted floor space",SUMIF('08 Allocation Data'!$A$5:$A$34,$A28,'08 Allocation Data'!$I$5:$I$34),IF('07 Support Drivers'!$D$15="Cleaning hours",SUMIF('08 Allocation Data'!$A$5:$A$34,$A28,'08 Allocation Data'!$J$5:$J$34),IF('07 Support Drivers'!$D$15="Meals",SUMIF('08 Allocation Data'!$A$5:$A$34,$A28,'08 Allocation Data'!$K$5:$K$34),IF('07 Support Drivers'!$D$15="Direct costs",SUMIF('08 Allocation Data'!$A$5:$A$34,$A28,'08 Allocation Data'!$M$5:$M$34),0)))))))/'07 Support Drivers'!$G$15,0))</f>
        <v>0</v>
      </c>
      <c r="P28" s="55">
        <f>IF('07 Support Drivers'!$D$16="Two-stage finance",SUMIF('05 Support &amp; Income'!$A$5:$A$41,P$4,'05 Support &amp; Income'!$F$5:$F$41)*IF(SUMIF('08 Allocation Data'!$A$5:$A$34,$A28,'08 Allocation Data'!$L$5:$L$34)&gt;0,SUMIF('08 Allocation Data'!$A$5:$A$34,$A28,'08 Allocation Data'!$L$5:$L$34),IFERROR((1-SUM('08 Allocation Data'!$L$5:$L$34))*C28/SUMIFS($C$5:$C$34,'08 Allocation Data'!$L$5:$L$34,0),0)),IFERROR(SUMIF('05 Support &amp; Income'!$A$5:$A$41,P$4,'05 Support &amp; Income'!$F$5:$F$41)*IF('07 Support Drivers'!$D$16="Headcount",SUMIF('08 Allocation Data'!$A$5:$A$34,$A28,'08 Allocation Data'!$D$5:$D$34),IF('07 Support Drivers'!$D$16="FTE",SUMIF('08 Allocation Data'!$A$5:$A$34,$A28,'08 Allocation Data'!$E$5:$E$34),IF('07 Support Drivers'!$D$16="Floor space",SUMIF('08 Allocation Data'!$A$5:$A$34,$A28,'08 Allocation Data'!$F$5:$F$34),IF('07 Support Drivers'!$D$16="Weighted floor space",SUMIF('08 Allocation Data'!$A$5:$A$34,$A28,'08 Allocation Data'!$I$5:$I$34),IF('07 Support Drivers'!$D$16="Cleaning hours",SUMIF('08 Allocation Data'!$A$5:$A$34,$A28,'08 Allocation Data'!$J$5:$J$34),IF('07 Support Drivers'!$D$16="Meals",SUMIF('08 Allocation Data'!$A$5:$A$34,$A28,'08 Allocation Data'!$K$5:$K$34),IF('07 Support Drivers'!$D$16="Direct costs",SUMIF('08 Allocation Data'!$A$5:$A$34,$A28,'08 Allocation Data'!$M$5:$M$34),0)))))))/'07 Support Drivers'!$G$16,0))</f>
        <v>0</v>
      </c>
      <c r="Q28" s="55">
        <f>IF('07 Support Drivers'!$D$17="Two-stage finance",SUMIF('05 Support &amp; Income'!$A$5:$A$41,Q$4,'05 Support &amp; Income'!$F$5:$F$41)*IF(SUMIF('08 Allocation Data'!$A$5:$A$34,$A28,'08 Allocation Data'!$L$5:$L$34)&gt;0,SUMIF('08 Allocation Data'!$A$5:$A$34,$A28,'08 Allocation Data'!$L$5:$L$34),IFERROR((1-SUM('08 Allocation Data'!$L$5:$L$34))*C28/SUMIFS($C$5:$C$34,'08 Allocation Data'!$L$5:$L$34,0),0)),IFERROR(SUMIF('05 Support &amp; Income'!$A$5:$A$41,Q$4,'05 Support &amp; Income'!$F$5:$F$41)*IF('07 Support Drivers'!$D$17="Headcount",SUMIF('08 Allocation Data'!$A$5:$A$34,$A28,'08 Allocation Data'!$D$5:$D$34),IF('07 Support Drivers'!$D$17="FTE",SUMIF('08 Allocation Data'!$A$5:$A$34,$A28,'08 Allocation Data'!$E$5:$E$34),IF('07 Support Drivers'!$D$17="Floor space",SUMIF('08 Allocation Data'!$A$5:$A$34,$A28,'08 Allocation Data'!$F$5:$F$34),IF('07 Support Drivers'!$D$17="Weighted floor space",SUMIF('08 Allocation Data'!$A$5:$A$34,$A28,'08 Allocation Data'!$I$5:$I$34),IF('07 Support Drivers'!$D$17="Cleaning hours",SUMIF('08 Allocation Data'!$A$5:$A$34,$A28,'08 Allocation Data'!$J$5:$J$34),IF('07 Support Drivers'!$D$17="Meals",SUMIF('08 Allocation Data'!$A$5:$A$34,$A28,'08 Allocation Data'!$K$5:$K$34),IF('07 Support Drivers'!$D$17="Direct costs",SUMIF('08 Allocation Data'!$A$5:$A$34,$A28,'08 Allocation Data'!$M$5:$M$34),0)))))))/'07 Support Drivers'!$G$17,0))</f>
        <v>0</v>
      </c>
      <c r="R28" s="48">
        <f t="shared" si="0"/>
        <v>0</v>
      </c>
      <c r="S28" s="48">
        <f>SUMIF('04 Service Costs'!$A$5:$A$31,A28,'04 Service Costs'!$M$5:$M$31)+SUMIF('06 Shared Cost Pools'!$D$21:$D$260,A28,'06 Shared Cost Pools'!$I$21:$I$260)</f>
        <v>0</v>
      </c>
      <c r="T28" s="48">
        <f>SUMIF('04 Service Costs'!$A$5:$A$31,A28,'04 Service Costs'!$N$5:$N$31)+SUMIF('06 Shared Cost Pools'!$D$21:$D$260,A28,'06 Shared Cost Pools'!$J$21:$J$260)</f>
        <v>0</v>
      </c>
      <c r="U28" s="48">
        <f>SUMIF('04 Service Costs'!$A$5:$A$31,A28,'04 Service Costs'!$O$5:$O$31)+SUMIF('06 Shared Cost Pools'!$D$21:$D$260,A28,'06 Shared Cost Pools'!$K$21:$K$260)</f>
        <v>0</v>
      </c>
      <c r="V28" s="48">
        <f t="shared" si="1"/>
        <v>0</v>
      </c>
    </row>
    <row r="29" spans="1:22">
      <c r="A29" s="3" t="s">
        <v>168</v>
      </c>
      <c r="B29" s="3" t="s">
        <v>169</v>
      </c>
      <c r="C29" s="55">
        <f>SUMIF('04 Service Costs'!$A$5:$A$31,A29,'04 Service Costs'!$L$5:$L$31)+SUMIF('05 Support &amp; Income'!$A$5:$A$41,A29,'05 Support &amp; Income'!$F$5:$F$41)</f>
        <v>0</v>
      </c>
      <c r="D29" s="55">
        <f>SUMIF('06 Shared Cost Pools'!$D$21:$D$260,A29,'06 Shared Cost Pools'!$F$21:$F$260)</f>
        <v>0</v>
      </c>
      <c r="E29" s="55">
        <f>IF('07 Support Drivers'!$D$5="Two-stage finance",SUMIF('05 Support &amp; Income'!$A$5:$A$41,E$4,'05 Support &amp; Income'!$F$5:$F$41)*IF(SUMIF('08 Allocation Data'!$A$5:$A$34,$A29,'08 Allocation Data'!$L$5:$L$34)&gt;0,SUMIF('08 Allocation Data'!$A$5:$A$34,$A29,'08 Allocation Data'!$L$5:$L$34),IFERROR((1-SUM('08 Allocation Data'!$L$5:$L$34))*C29/SUMIFS($C$5:$C$34,'08 Allocation Data'!$L$5:$L$34,0),0)),IFERROR(SUMIF('05 Support &amp; Income'!$A$5:$A$41,E$4,'05 Support &amp; Income'!$F$5:$F$41)*IF('07 Support Drivers'!$D$5="Headcount",SUMIF('08 Allocation Data'!$A$5:$A$34,$A29,'08 Allocation Data'!$D$5:$D$34),IF('07 Support Drivers'!$D$5="FTE",SUMIF('08 Allocation Data'!$A$5:$A$34,$A29,'08 Allocation Data'!$E$5:$E$34),IF('07 Support Drivers'!$D$5="Floor space",SUMIF('08 Allocation Data'!$A$5:$A$34,$A29,'08 Allocation Data'!$F$5:$F$34),IF('07 Support Drivers'!$D$5="Weighted floor space",SUMIF('08 Allocation Data'!$A$5:$A$34,$A29,'08 Allocation Data'!$I$5:$I$34),IF('07 Support Drivers'!$D$5="Cleaning hours",SUMIF('08 Allocation Data'!$A$5:$A$34,$A29,'08 Allocation Data'!$J$5:$J$34),IF('07 Support Drivers'!$D$5="Meals",SUMIF('08 Allocation Data'!$A$5:$A$34,$A29,'08 Allocation Data'!$K$5:$K$34),IF('07 Support Drivers'!$D$5="Direct costs",SUMIF('08 Allocation Data'!$A$5:$A$34,$A29,'08 Allocation Data'!$M$5:$M$34),0)))))))/'07 Support Drivers'!$G$5,0))</f>
        <v>0</v>
      </c>
      <c r="F29" s="55">
        <f>IF('07 Support Drivers'!$D$6="Two-stage finance",SUMIF('05 Support &amp; Income'!$A$5:$A$41,F$4,'05 Support &amp; Income'!$F$5:$F$41)*IF(SUMIF('08 Allocation Data'!$A$5:$A$34,$A29,'08 Allocation Data'!$L$5:$L$34)&gt;0,SUMIF('08 Allocation Data'!$A$5:$A$34,$A29,'08 Allocation Data'!$L$5:$L$34),IFERROR((1-SUM('08 Allocation Data'!$L$5:$L$34))*C29/SUMIFS($C$5:$C$34,'08 Allocation Data'!$L$5:$L$34,0),0)),IFERROR(SUMIF('05 Support &amp; Income'!$A$5:$A$41,F$4,'05 Support &amp; Income'!$F$5:$F$41)*IF('07 Support Drivers'!$D$6="Headcount",SUMIF('08 Allocation Data'!$A$5:$A$34,$A29,'08 Allocation Data'!$D$5:$D$34),IF('07 Support Drivers'!$D$6="FTE",SUMIF('08 Allocation Data'!$A$5:$A$34,$A29,'08 Allocation Data'!$E$5:$E$34),IF('07 Support Drivers'!$D$6="Floor space",SUMIF('08 Allocation Data'!$A$5:$A$34,$A29,'08 Allocation Data'!$F$5:$F$34),IF('07 Support Drivers'!$D$6="Weighted floor space",SUMIF('08 Allocation Data'!$A$5:$A$34,$A29,'08 Allocation Data'!$I$5:$I$34),IF('07 Support Drivers'!$D$6="Cleaning hours",SUMIF('08 Allocation Data'!$A$5:$A$34,$A29,'08 Allocation Data'!$J$5:$J$34),IF('07 Support Drivers'!$D$6="Meals",SUMIF('08 Allocation Data'!$A$5:$A$34,$A29,'08 Allocation Data'!$K$5:$K$34),IF('07 Support Drivers'!$D$6="Direct costs",SUMIF('08 Allocation Data'!$A$5:$A$34,$A29,'08 Allocation Data'!$M$5:$M$34),0)))))))/'07 Support Drivers'!$G$6,0))</f>
        <v>0</v>
      </c>
      <c r="G29" s="55">
        <f>IF('07 Support Drivers'!$D$7="Two-stage finance",SUMIF('05 Support &amp; Income'!$A$5:$A$41,G$4,'05 Support &amp; Income'!$F$5:$F$41)*IF(SUMIF('08 Allocation Data'!$A$5:$A$34,$A29,'08 Allocation Data'!$L$5:$L$34)&gt;0,SUMIF('08 Allocation Data'!$A$5:$A$34,$A29,'08 Allocation Data'!$L$5:$L$34),IFERROR((1-SUM('08 Allocation Data'!$L$5:$L$34))*C29/SUMIFS($C$5:$C$34,'08 Allocation Data'!$L$5:$L$34,0),0)),IFERROR(SUMIF('05 Support &amp; Income'!$A$5:$A$41,G$4,'05 Support &amp; Income'!$F$5:$F$41)*IF('07 Support Drivers'!$D$7="Headcount",SUMIF('08 Allocation Data'!$A$5:$A$34,$A29,'08 Allocation Data'!$D$5:$D$34),IF('07 Support Drivers'!$D$7="FTE",SUMIF('08 Allocation Data'!$A$5:$A$34,$A29,'08 Allocation Data'!$E$5:$E$34),IF('07 Support Drivers'!$D$7="Floor space",SUMIF('08 Allocation Data'!$A$5:$A$34,$A29,'08 Allocation Data'!$F$5:$F$34),IF('07 Support Drivers'!$D$7="Weighted floor space",SUMIF('08 Allocation Data'!$A$5:$A$34,$A29,'08 Allocation Data'!$I$5:$I$34),IF('07 Support Drivers'!$D$7="Cleaning hours",SUMIF('08 Allocation Data'!$A$5:$A$34,$A29,'08 Allocation Data'!$J$5:$J$34),IF('07 Support Drivers'!$D$7="Meals",SUMIF('08 Allocation Data'!$A$5:$A$34,$A29,'08 Allocation Data'!$K$5:$K$34),IF('07 Support Drivers'!$D$7="Direct costs",SUMIF('08 Allocation Data'!$A$5:$A$34,$A29,'08 Allocation Data'!$M$5:$M$34),0)))))))/'07 Support Drivers'!$G$7,0))</f>
        <v>0</v>
      </c>
      <c r="H29" s="55">
        <f>IF('07 Support Drivers'!$D$8="Two-stage finance",SUMIF('05 Support &amp; Income'!$A$5:$A$41,H$4,'05 Support &amp; Income'!$F$5:$F$41)*IF(SUMIF('08 Allocation Data'!$A$5:$A$34,$A29,'08 Allocation Data'!$L$5:$L$34)&gt;0,SUMIF('08 Allocation Data'!$A$5:$A$34,$A29,'08 Allocation Data'!$L$5:$L$34),IFERROR((1-SUM('08 Allocation Data'!$L$5:$L$34))*C29/SUMIFS($C$5:$C$34,'08 Allocation Data'!$L$5:$L$34,0),0)),IFERROR(SUMIF('05 Support &amp; Income'!$A$5:$A$41,H$4,'05 Support &amp; Income'!$F$5:$F$41)*IF('07 Support Drivers'!$D$8="Headcount",SUMIF('08 Allocation Data'!$A$5:$A$34,$A29,'08 Allocation Data'!$D$5:$D$34),IF('07 Support Drivers'!$D$8="FTE",SUMIF('08 Allocation Data'!$A$5:$A$34,$A29,'08 Allocation Data'!$E$5:$E$34),IF('07 Support Drivers'!$D$8="Floor space",SUMIF('08 Allocation Data'!$A$5:$A$34,$A29,'08 Allocation Data'!$F$5:$F$34),IF('07 Support Drivers'!$D$8="Weighted floor space",SUMIF('08 Allocation Data'!$A$5:$A$34,$A29,'08 Allocation Data'!$I$5:$I$34),IF('07 Support Drivers'!$D$8="Cleaning hours",SUMIF('08 Allocation Data'!$A$5:$A$34,$A29,'08 Allocation Data'!$J$5:$J$34),IF('07 Support Drivers'!$D$8="Meals",SUMIF('08 Allocation Data'!$A$5:$A$34,$A29,'08 Allocation Data'!$K$5:$K$34),IF('07 Support Drivers'!$D$8="Direct costs",SUMIF('08 Allocation Data'!$A$5:$A$34,$A29,'08 Allocation Data'!$M$5:$M$34),0)))))))/'07 Support Drivers'!$G$8,0))</f>
        <v>0</v>
      </c>
      <c r="I29" s="55">
        <f>IF('07 Support Drivers'!$D$9="Two-stage finance",SUMIF('05 Support &amp; Income'!$A$5:$A$41,I$4,'05 Support &amp; Income'!$F$5:$F$41)*IF(SUMIF('08 Allocation Data'!$A$5:$A$34,$A29,'08 Allocation Data'!$L$5:$L$34)&gt;0,SUMIF('08 Allocation Data'!$A$5:$A$34,$A29,'08 Allocation Data'!$L$5:$L$34),IFERROR((1-SUM('08 Allocation Data'!$L$5:$L$34))*C29/SUMIFS($C$5:$C$34,'08 Allocation Data'!$L$5:$L$34,0),0)),IFERROR(SUMIF('05 Support &amp; Income'!$A$5:$A$41,I$4,'05 Support &amp; Income'!$F$5:$F$41)*IF('07 Support Drivers'!$D$9="Headcount",SUMIF('08 Allocation Data'!$A$5:$A$34,$A29,'08 Allocation Data'!$D$5:$D$34),IF('07 Support Drivers'!$D$9="FTE",SUMIF('08 Allocation Data'!$A$5:$A$34,$A29,'08 Allocation Data'!$E$5:$E$34),IF('07 Support Drivers'!$D$9="Floor space",SUMIF('08 Allocation Data'!$A$5:$A$34,$A29,'08 Allocation Data'!$F$5:$F$34),IF('07 Support Drivers'!$D$9="Weighted floor space",SUMIF('08 Allocation Data'!$A$5:$A$34,$A29,'08 Allocation Data'!$I$5:$I$34),IF('07 Support Drivers'!$D$9="Cleaning hours",SUMIF('08 Allocation Data'!$A$5:$A$34,$A29,'08 Allocation Data'!$J$5:$J$34),IF('07 Support Drivers'!$D$9="Meals",SUMIF('08 Allocation Data'!$A$5:$A$34,$A29,'08 Allocation Data'!$K$5:$K$34),IF('07 Support Drivers'!$D$9="Direct costs",SUMIF('08 Allocation Data'!$A$5:$A$34,$A29,'08 Allocation Data'!$M$5:$M$34),0)))))))/'07 Support Drivers'!$G$9,0))</f>
        <v>0</v>
      </c>
      <c r="J29" s="55">
        <f>IF('07 Support Drivers'!$D$10="Two-stage finance",SUMIF('05 Support &amp; Income'!$A$5:$A$41,J$4,'05 Support &amp; Income'!$F$5:$F$41)*IF(SUMIF('08 Allocation Data'!$A$5:$A$34,$A29,'08 Allocation Data'!$L$5:$L$34)&gt;0,SUMIF('08 Allocation Data'!$A$5:$A$34,$A29,'08 Allocation Data'!$L$5:$L$34),IFERROR((1-SUM('08 Allocation Data'!$L$5:$L$34))*C29/SUMIFS($C$5:$C$34,'08 Allocation Data'!$L$5:$L$34,0),0)),IFERROR(SUMIF('05 Support &amp; Income'!$A$5:$A$41,J$4,'05 Support &amp; Income'!$F$5:$F$41)*IF('07 Support Drivers'!$D$10="Headcount",SUMIF('08 Allocation Data'!$A$5:$A$34,$A29,'08 Allocation Data'!$D$5:$D$34),IF('07 Support Drivers'!$D$10="FTE",SUMIF('08 Allocation Data'!$A$5:$A$34,$A29,'08 Allocation Data'!$E$5:$E$34),IF('07 Support Drivers'!$D$10="Floor space",SUMIF('08 Allocation Data'!$A$5:$A$34,$A29,'08 Allocation Data'!$F$5:$F$34),IF('07 Support Drivers'!$D$10="Weighted floor space",SUMIF('08 Allocation Data'!$A$5:$A$34,$A29,'08 Allocation Data'!$I$5:$I$34),IF('07 Support Drivers'!$D$10="Cleaning hours",SUMIF('08 Allocation Data'!$A$5:$A$34,$A29,'08 Allocation Data'!$J$5:$J$34),IF('07 Support Drivers'!$D$10="Meals",SUMIF('08 Allocation Data'!$A$5:$A$34,$A29,'08 Allocation Data'!$K$5:$K$34),IF('07 Support Drivers'!$D$10="Direct costs",SUMIF('08 Allocation Data'!$A$5:$A$34,$A29,'08 Allocation Data'!$M$5:$M$34),0)))))))/'07 Support Drivers'!$G$10,0))</f>
        <v>0</v>
      </c>
      <c r="K29" s="55">
        <f>IF('07 Support Drivers'!$D$11="Two-stage finance",SUMIF('05 Support &amp; Income'!$A$5:$A$41,K$4,'05 Support &amp; Income'!$F$5:$F$41)*IF(SUMIF('08 Allocation Data'!$A$5:$A$34,$A29,'08 Allocation Data'!$L$5:$L$34)&gt;0,SUMIF('08 Allocation Data'!$A$5:$A$34,$A29,'08 Allocation Data'!$L$5:$L$34),IFERROR((1-SUM('08 Allocation Data'!$L$5:$L$34))*C29/SUMIFS($C$5:$C$34,'08 Allocation Data'!$L$5:$L$34,0),0)),IFERROR(SUMIF('05 Support &amp; Income'!$A$5:$A$41,K$4,'05 Support &amp; Income'!$F$5:$F$41)*IF('07 Support Drivers'!$D$11="Headcount",SUMIF('08 Allocation Data'!$A$5:$A$34,$A29,'08 Allocation Data'!$D$5:$D$34),IF('07 Support Drivers'!$D$11="FTE",SUMIF('08 Allocation Data'!$A$5:$A$34,$A29,'08 Allocation Data'!$E$5:$E$34),IF('07 Support Drivers'!$D$11="Floor space",SUMIF('08 Allocation Data'!$A$5:$A$34,$A29,'08 Allocation Data'!$F$5:$F$34),IF('07 Support Drivers'!$D$11="Weighted floor space",SUMIF('08 Allocation Data'!$A$5:$A$34,$A29,'08 Allocation Data'!$I$5:$I$34),IF('07 Support Drivers'!$D$11="Cleaning hours",SUMIF('08 Allocation Data'!$A$5:$A$34,$A29,'08 Allocation Data'!$J$5:$J$34),IF('07 Support Drivers'!$D$11="Meals",SUMIF('08 Allocation Data'!$A$5:$A$34,$A29,'08 Allocation Data'!$K$5:$K$34),IF('07 Support Drivers'!$D$11="Direct costs",SUMIF('08 Allocation Data'!$A$5:$A$34,$A29,'08 Allocation Data'!$M$5:$M$34),0)))))))/'07 Support Drivers'!$G$11,0))</f>
        <v>0</v>
      </c>
      <c r="L29" s="55">
        <f>IF('07 Support Drivers'!$D$12="Two-stage finance",SUMIF('05 Support &amp; Income'!$A$5:$A$41,L$4,'05 Support &amp; Income'!$F$5:$F$41)*IF(SUMIF('08 Allocation Data'!$A$5:$A$34,$A29,'08 Allocation Data'!$L$5:$L$34)&gt;0,SUMIF('08 Allocation Data'!$A$5:$A$34,$A29,'08 Allocation Data'!$L$5:$L$34),IFERROR((1-SUM('08 Allocation Data'!$L$5:$L$34))*C29/SUMIFS($C$5:$C$34,'08 Allocation Data'!$L$5:$L$34,0),0)),IFERROR(SUMIF('05 Support &amp; Income'!$A$5:$A$41,L$4,'05 Support &amp; Income'!$F$5:$F$41)*IF('07 Support Drivers'!$D$12="Headcount",SUMIF('08 Allocation Data'!$A$5:$A$34,$A29,'08 Allocation Data'!$D$5:$D$34),IF('07 Support Drivers'!$D$12="FTE",SUMIF('08 Allocation Data'!$A$5:$A$34,$A29,'08 Allocation Data'!$E$5:$E$34),IF('07 Support Drivers'!$D$12="Floor space",SUMIF('08 Allocation Data'!$A$5:$A$34,$A29,'08 Allocation Data'!$F$5:$F$34),IF('07 Support Drivers'!$D$12="Weighted floor space",SUMIF('08 Allocation Data'!$A$5:$A$34,$A29,'08 Allocation Data'!$I$5:$I$34),IF('07 Support Drivers'!$D$12="Cleaning hours",SUMIF('08 Allocation Data'!$A$5:$A$34,$A29,'08 Allocation Data'!$J$5:$J$34),IF('07 Support Drivers'!$D$12="Meals",SUMIF('08 Allocation Data'!$A$5:$A$34,$A29,'08 Allocation Data'!$K$5:$K$34),IF('07 Support Drivers'!$D$12="Direct costs",SUMIF('08 Allocation Data'!$A$5:$A$34,$A29,'08 Allocation Data'!$M$5:$M$34),0)))))))/'07 Support Drivers'!$G$12,0))</f>
        <v>0</v>
      </c>
      <c r="M29" s="55">
        <f>IF('07 Support Drivers'!$D$13="Two-stage finance",SUMIF('05 Support &amp; Income'!$A$5:$A$41,M$4,'05 Support &amp; Income'!$F$5:$F$41)*IF(SUMIF('08 Allocation Data'!$A$5:$A$34,$A29,'08 Allocation Data'!$L$5:$L$34)&gt;0,SUMIF('08 Allocation Data'!$A$5:$A$34,$A29,'08 Allocation Data'!$L$5:$L$34),IFERROR((1-SUM('08 Allocation Data'!$L$5:$L$34))*C29/SUMIFS($C$5:$C$34,'08 Allocation Data'!$L$5:$L$34,0),0)),IFERROR(SUMIF('05 Support &amp; Income'!$A$5:$A$41,M$4,'05 Support &amp; Income'!$F$5:$F$41)*IF('07 Support Drivers'!$D$13="Headcount",SUMIF('08 Allocation Data'!$A$5:$A$34,$A29,'08 Allocation Data'!$D$5:$D$34),IF('07 Support Drivers'!$D$13="FTE",SUMIF('08 Allocation Data'!$A$5:$A$34,$A29,'08 Allocation Data'!$E$5:$E$34),IF('07 Support Drivers'!$D$13="Floor space",SUMIF('08 Allocation Data'!$A$5:$A$34,$A29,'08 Allocation Data'!$F$5:$F$34),IF('07 Support Drivers'!$D$13="Weighted floor space",SUMIF('08 Allocation Data'!$A$5:$A$34,$A29,'08 Allocation Data'!$I$5:$I$34),IF('07 Support Drivers'!$D$13="Cleaning hours",SUMIF('08 Allocation Data'!$A$5:$A$34,$A29,'08 Allocation Data'!$J$5:$J$34),IF('07 Support Drivers'!$D$13="Meals",SUMIF('08 Allocation Data'!$A$5:$A$34,$A29,'08 Allocation Data'!$K$5:$K$34),IF('07 Support Drivers'!$D$13="Direct costs",SUMIF('08 Allocation Data'!$A$5:$A$34,$A29,'08 Allocation Data'!$M$5:$M$34),0)))))))/'07 Support Drivers'!$G$13,0))</f>
        <v>0</v>
      </c>
      <c r="N29" s="55">
        <f>IF('07 Support Drivers'!$D$14="Two-stage finance",SUMIF('05 Support &amp; Income'!$A$5:$A$41,N$4,'05 Support &amp; Income'!$F$5:$F$41)*IF(SUMIF('08 Allocation Data'!$A$5:$A$34,$A29,'08 Allocation Data'!$L$5:$L$34)&gt;0,SUMIF('08 Allocation Data'!$A$5:$A$34,$A29,'08 Allocation Data'!$L$5:$L$34),IFERROR((1-SUM('08 Allocation Data'!$L$5:$L$34))*C29/SUMIFS($C$5:$C$34,'08 Allocation Data'!$L$5:$L$34,0),0)),IFERROR(SUMIF('05 Support &amp; Income'!$A$5:$A$41,N$4,'05 Support &amp; Income'!$F$5:$F$41)*IF('07 Support Drivers'!$D$14="Headcount",SUMIF('08 Allocation Data'!$A$5:$A$34,$A29,'08 Allocation Data'!$D$5:$D$34),IF('07 Support Drivers'!$D$14="FTE",SUMIF('08 Allocation Data'!$A$5:$A$34,$A29,'08 Allocation Data'!$E$5:$E$34),IF('07 Support Drivers'!$D$14="Floor space",SUMIF('08 Allocation Data'!$A$5:$A$34,$A29,'08 Allocation Data'!$F$5:$F$34),IF('07 Support Drivers'!$D$14="Weighted floor space",SUMIF('08 Allocation Data'!$A$5:$A$34,$A29,'08 Allocation Data'!$I$5:$I$34),IF('07 Support Drivers'!$D$14="Cleaning hours",SUMIF('08 Allocation Data'!$A$5:$A$34,$A29,'08 Allocation Data'!$J$5:$J$34),IF('07 Support Drivers'!$D$14="Meals",SUMIF('08 Allocation Data'!$A$5:$A$34,$A29,'08 Allocation Data'!$K$5:$K$34),IF('07 Support Drivers'!$D$14="Direct costs",SUMIF('08 Allocation Data'!$A$5:$A$34,$A29,'08 Allocation Data'!$M$5:$M$34),0)))))))/'07 Support Drivers'!$G$14,0))</f>
        <v>0</v>
      </c>
      <c r="O29" s="55">
        <f>IF('07 Support Drivers'!$D$15="Two-stage finance",SUMIF('05 Support &amp; Income'!$A$5:$A$41,O$4,'05 Support &amp; Income'!$F$5:$F$41)*IF(SUMIF('08 Allocation Data'!$A$5:$A$34,$A29,'08 Allocation Data'!$L$5:$L$34)&gt;0,SUMIF('08 Allocation Data'!$A$5:$A$34,$A29,'08 Allocation Data'!$L$5:$L$34),IFERROR((1-SUM('08 Allocation Data'!$L$5:$L$34))*C29/SUMIFS($C$5:$C$34,'08 Allocation Data'!$L$5:$L$34,0),0)),IFERROR(SUMIF('05 Support &amp; Income'!$A$5:$A$41,O$4,'05 Support &amp; Income'!$F$5:$F$41)*IF('07 Support Drivers'!$D$15="Headcount",SUMIF('08 Allocation Data'!$A$5:$A$34,$A29,'08 Allocation Data'!$D$5:$D$34),IF('07 Support Drivers'!$D$15="FTE",SUMIF('08 Allocation Data'!$A$5:$A$34,$A29,'08 Allocation Data'!$E$5:$E$34),IF('07 Support Drivers'!$D$15="Floor space",SUMIF('08 Allocation Data'!$A$5:$A$34,$A29,'08 Allocation Data'!$F$5:$F$34),IF('07 Support Drivers'!$D$15="Weighted floor space",SUMIF('08 Allocation Data'!$A$5:$A$34,$A29,'08 Allocation Data'!$I$5:$I$34),IF('07 Support Drivers'!$D$15="Cleaning hours",SUMIF('08 Allocation Data'!$A$5:$A$34,$A29,'08 Allocation Data'!$J$5:$J$34),IF('07 Support Drivers'!$D$15="Meals",SUMIF('08 Allocation Data'!$A$5:$A$34,$A29,'08 Allocation Data'!$K$5:$K$34),IF('07 Support Drivers'!$D$15="Direct costs",SUMIF('08 Allocation Data'!$A$5:$A$34,$A29,'08 Allocation Data'!$M$5:$M$34),0)))))))/'07 Support Drivers'!$G$15,0))</f>
        <v>0</v>
      </c>
      <c r="P29" s="55">
        <f>IF('07 Support Drivers'!$D$16="Two-stage finance",SUMIF('05 Support &amp; Income'!$A$5:$A$41,P$4,'05 Support &amp; Income'!$F$5:$F$41)*IF(SUMIF('08 Allocation Data'!$A$5:$A$34,$A29,'08 Allocation Data'!$L$5:$L$34)&gt;0,SUMIF('08 Allocation Data'!$A$5:$A$34,$A29,'08 Allocation Data'!$L$5:$L$34),IFERROR((1-SUM('08 Allocation Data'!$L$5:$L$34))*C29/SUMIFS($C$5:$C$34,'08 Allocation Data'!$L$5:$L$34,0),0)),IFERROR(SUMIF('05 Support &amp; Income'!$A$5:$A$41,P$4,'05 Support &amp; Income'!$F$5:$F$41)*IF('07 Support Drivers'!$D$16="Headcount",SUMIF('08 Allocation Data'!$A$5:$A$34,$A29,'08 Allocation Data'!$D$5:$D$34),IF('07 Support Drivers'!$D$16="FTE",SUMIF('08 Allocation Data'!$A$5:$A$34,$A29,'08 Allocation Data'!$E$5:$E$34),IF('07 Support Drivers'!$D$16="Floor space",SUMIF('08 Allocation Data'!$A$5:$A$34,$A29,'08 Allocation Data'!$F$5:$F$34),IF('07 Support Drivers'!$D$16="Weighted floor space",SUMIF('08 Allocation Data'!$A$5:$A$34,$A29,'08 Allocation Data'!$I$5:$I$34),IF('07 Support Drivers'!$D$16="Cleaning hours",SUMIF('08 Allocation Data'!$A$5:$A$34,$A29,'08 Allocation Data'!$J$5:$J$34),IF('07 Support Drivers'!$D$16="Meals",SUMIF('08 Allocation Data'!$A$5:$A$34,$A29,'08 Allocation Data'!$K$5:$K$34),IF('07 Support Drivers'!$D$16="Direct costs",SUMIF('08 Allocation Data'!$A$5:$A$34,$A29,'08 Allocation Data'!$M$5:$M$34),0)))))))/'07 Support Drivers'!$G$16,0))</f>
        <v>0</v>
      </c>
      <c r="Q29" s="55">
        <f>IF('07 Support Drivers'!$D$17="Two-stage finance",SUMIF('05 Support &amp; Income'!$A$5:$A$41,Q$4,'05 Support &amp; Income'!$F$5:$F$41)*IF(SUMIF('08 Allocation Data'!$A$5:$A$34,$A29,'08 Allocation Data'!$L$5:$L$34)&gt;0,SUMIF('08 Allocation Data'!$A$5:$A$34,$A29,'08 Allocation Data'!$L$5:$L$34),IFERROR((1-SUM('08 Allocation Data'!$L$5:$L$34))*C29/SUMIFS($C$5:$C$34,'08 Allocation Data'!$L$5:$L$34,0),0)),IFERROR(SUMIF('05 Support &amp; Income'!$A$5:$A$41,Q$4,'05 Support &amp; Income'!$F$5:$F$41)*IF('07 Support Drivers'!$D$17="Headcount",SUMIF('08 Allocation Data'!$A$5:$A$34,$A29,'08 Allocation Data'!$D$5:$D$34),IF('07 Support Drivers'!$D$17="FTE",SUMIF('08 Allocation Data'!$A$5:$A$34,$A29,'08 Allocation Data'!$E$5:$E$34),IF('07 Support Drivers'!$D$17="Floor space",SUMIF('08 Allocation Data'!$A$5:$A$34,$A29,'08 Allocation Data'!$F$5:$F$34),IF('07 Support Drivers'!$D$17="Weighted floor space",SUMIF('08 Allocation Data'!$A$5:$A$34,$A29,'08 Allocation Data'!$I$5:$I$34),IF('07 Support Drivers'!$D$17="Cleaning hours",SUMIF('08 Allocation Data'!$A$5:$A$34,$A29,'08 Allocation Data'!$J$5:$J$34),IF('07 Support Drivers'!$D$17="Meals",SUMIF('08 Allocation Data'!$A$5:$A$34,$A29,'08 Allocation Data'!$K$5:$K$34),IF('07 Support Drivers'!$D$17="Direct costs",SUMIF('08 Allocation Data'!$A$5:$A$34,$A29,'08 Allocation Data'!$M$5:$M$34),0)))))))/'07 Support Drivers'!$G$17,0))</f>
        <v>0</v>
      </c>
      <c r="R29" s="48">
        <f t="shared" si="0"/>
        <v>0</v>
      </c>
      <c r="S29" s="48">
        <f>SUMIF('04 Service Costs'!$A$5:$A$31,A29,'04 Service Costs'!$M$5:$M$31)+SUMIF('06 Shared Cost Pools'!$D$21:$D$260,A29,'06 Shared Cost Pools'!$I$21:$I$260)</f>
        <v>0</v>
      </c>
      <c r="T29" s="48">
        <f>SUMIF('04 Service Costs'!$A$5:$A$31,A29,'04 Service Costs'!$N$5:$N$31)+SUMIF('06 Shared Cost Pools'!$D$21:$D$260,A29,'06 Shared Cost Pools'!$J$21:$J$260)</f>
        <v>0</v>
      </c>
      <c r="U29" s="48">
        <f>SUMIF('04 Service Costs'!$A$5:$A$31,A29,'04 Service Costs'!$O$5:$O$31)+SUMIF('06 Shared Cost Pools'!$D$21:$D$260,A29,'06 Shared Cost Pools'!$K$21:$K$260)</f>
        <v>0</v>
      </c>
      <c r="V29" s="48">
        <f t="shared" si="1"/>
        <v>0</v>
      </c>
    </row>
    <row r="30" spans="1:22">
      <c r="A30" s="3" t="s">
        <v>170</v>
      </c>
      <c r="B30" s="3" t="s">
        <v>166</v>
      </c>
      <c r="C30" s="55">
        <f>SUMIF('04 Service Costs'!$A$5:$A$31,A30,'04 Service Costs'!$L$5:$L$31)+SUMIF('05 Support &amp; Income'!$A$5:$A$41,A30,'05 Support &amp; Income'!$F$5:$F$41)</f>
        <v>0</v>
      </c>
      <c r="D30" s="55">
        <f>SUMIF('06 Shared Cost Pools'!$D$21:$D$260,A30,'06 Shared Cost Pools'!$F$21:$F$260)</f>
        <v>0</v>
      </c>
      <c r="E30" s="55">
        <f>IF('07 Support Drivers'!$D$5="Two-stage finance",SUMIF('05 Support &amp; Income'!$A$5:$A$41,E$4,'05 Support &amp; Income'!$F$5:$F$41)*IF(SUMIF('08 Allocation Data'!$A$5:$A$34,$A30,'08 Allocation Data'!$L$5:$L$34)&gt;0,SUMIF('08 Allocation Data'!$A$5:$A$34,$A30,'08 Allocation Data'!$L$5:$L$34),IFERROR((1-SUM('08 Allocation Data'!$L$5:$L$34))*C30/SUMIFS($C$5:$C$34,'08 Allocation Data'!$L$5:$L$34,0),0)),IFERROR(SUMIF('05 Support &amp; Income'!$A$5:$A$41,E$4,'05 Support &amp; Income'!$F$5:$F$41)*IF('07 Support Drivers'!$D$5="Headcount",SUMIF('08 Allocation Data'!$A$5:$A$34,$A30,'08 Allocation Data'!$D$5:$D$34),IF('07 Support Drivers'!$D$5="FTE",SUMIF('08 Allocation Data'!$A$5:$A$34,$A30,'08 Allocation Data'!$E$5:$E$34),IF('07 Support Drivers'!$D$5="Floor space",SUMIF('08 Allocation Data'!$A$5:$A$34,$A30,'08 Allocation Data'!$F$5:$F$34),IF('07 Support Drivers'!$D$5="Weighted floor space",SUMIF('08 Allocation Data'!$A$5:$A$34,$A30,'08 Allocation Data'!$I$5:$I$34),IF('07 Support Drivers'!$D$5="Cleaning hours",SUMIF('08 Allocation Data'!$A$5:$A$34,$A30,'08 Allocation Data'!$J$5:$J$34),IF('07 Support Drivers'!$D$5="Meals",SUMIF('08 Allocation Data'!$A$5:$A$34,$A30,'08 Allocation Data'!$K$5:$K$34),IF('07 Support Drivers'!$D$5="Direct costs",SUMIF('08 Allocation Data'!$A$5:$A$34,$A30,'08 Allocation Data'!$M$5:$M$34),0)))))))/'07 Support Drivers'!$G$5,0))</f>
        <v>0</v>
      </c>
      <c r="F30" s="55">
        <f>IF('07 Support Drivers'!$D$6="Two-stage finance",SUMIF('05 Support &amp; Income'!$A$5:$A$41,F$4,'05 Support &amp; Income'!$F$5:$F$41)*IF(SUMIF('08 Allocation Data'!$A$5:$A$34,$A30,'08 Allocation Data'!$L$5:$L$34)&gt;0,SUMIF('08 Allocation Data'!$A$5:$A$34,$A30,'08 Allocation Data'!$L$5:$L$34),IFERROR((1-SUM('08 Allocation Data'!$L$5:$L$34))*C30/SUMIFS($C$5:$C$34,'08 Allocation Data'!$L$5:$L$34,0),0)),IFERROR(SUMIF('05 Support &amp; Income'!$A$5:$A$41,F$4,'05 Support &amp; Income'!$F$5:$F$41)*IF('07 Support Drivers'!$D$6="Headcount",SUMIF('08 Allocation Data'!$A$5:$A$34,$A30,'08 Allocation Data'!$D$5:$D$34),IF('07 Support Drivers'!$D$6="FTE",SUMIF('08 Allocation Data'!$A$5:$A$34,$A30,'08 Allocation Data'!$E$5:$E$34),IF('07 Support Drivers'!$D$6="Floor space",SUMIF('08 Allocation Data'!$A$5:$A$34,$A30,'08 Allocation Data'!$F$5:$F$34),IF('07 Support Drivers'!$D$6="Weighted floor space",SUMIF('08 Allocation Data'!$A$5:$A$34,$A30,'08 Allocation Data'!$I$5:$I$34),IF('07 Support Drivers'!$D$6="Cleaning hours",SUMIF('08 Allocation Data'!$A$5:$A$34,$A30,'08 Allocation Data'!$J$5:$J$34),IF('07 Support Drivers'!$D$6="Meals",SUMIF('08 Allocation Data'!$A$5:$A$34,$A30,'08 Allocation Data'!$K$5:$K$34),IF('07 Support Drivers'!$D$6="Direct costs",SUMIF('08 Allocation Data'!$A$5:$A$34,$A30,'08 Allocation Data'!$M$5:$M$34),0)))))))/'07 Support Drivers'!$G$6,0))</f>
        <v>0</v>
      </c>
      <c r="G30" s="55">
        <f>IF('07 Support Drivers'!$D$7="Two-stage finance",SUMIF('05 Support &amp; Income'!$A$5:$A$41,G$4,'05 Support &amp; Income'!$F$5:$F$41)*IF(SUMIF('08 Allocation Data'!$A$5:$A$34,$A30,'08 Allocation Data'!$L$5:$L$34)&gt;0,SUMIF('08 Allocation Data'!$A$5:$A$34,$A30,'08 Allocation Data'!$L$5:$L$34),IFERROR((1-SUM('08 Allocation Data'!$L$5:$L$34))*C30/SUMIFS($C$5:$C$34,'08 Allocation Data'!$L$5:$L$34,0),0)),IFERROR(SUMIF('05 Support &amp; Income'!$A$5:$A$41,G$4,'05 Support &amp; Income'!$F$5:$F$41)*IF('07 Support Drivers'!$D$7="Headcount",SUMIF('08 Allocation Data'!$A$5:$A$34,$A30,'08 Allocation Data'!$D$5:$D$34),IF('07 Support Drivers'!$D$7="FTE",SUMIF('08 Allocation Data'!$A$5:$A$34,$A30,'08 Allocation Data'!$E$5:$E$34),IF('07 Support Drivers'!$D$7="Floor space",SUMIF('08 Allocation Data'!$A$5:$A$34,$A30,'08 Allocation Data'!$F$5:$F$34),IF('07 Support Drivers'!$D$7="Weighted floor space",SUMIF('08 Allocation Data'!$A$5:$A$34,$A30,'08 Allocation Data'!$I$5:$I$34),IF('07 Support Drivers'!$D$7="Cleaning hours",SUMIF('08 Allocation Data'!$A$5:$A$34,$A30,'08 Allocation Data'!$J$5:$J$34),IF('07 Support Drivers'!$D$7="Meals",SUMIF('08 Allocation Data'!$A$5:$A$34,$A30,'08 Allocation Data'!$K$5:$K$34),IF('07 Support Drivers'!$D$7="Direct costs",SUMIF('08 Allocation Data'!$A$5:$A$34,$A30,'08 Allocation Data'!$M$5:$M$34),0)))))))/'07 Support Drivers'!$G$7,0))</f>
        <v>0</v>
      </c>
      <c r="H30" s="55">
        <f>IF('07 Support Drivers'!$D$8="Two-stage finance",SUMIF('05 Support &amp; Income'!$A$5:$A$41,H$4,'05 Support &amp; Income'!$F$5:$F$41)*IF(SUMIF('08 Allocation Data'!$A$5:$A$34,$A30,'08 Allocation Data'!$L$5:$L$34)&gt;0,SUMIF('08 Allocation Data'!$A$5:$A$34,$A30,'08 Allocation Data'!$L$5:$L$34),IFERROR((1-SUM('08 Allocation Data'!$L$5:$L$34))*C30/SUMIFS($C$5:$C$34,'08 Allocation Data'!$L$5:$L$34,0),0)),IFERROR(SUMIF('05 Support &amp; Income'!$A$5:$A$41,H$4,'05 Support &amp; Income'!$F$5:$F$41)*IF('07 Support Drivers'!$D$8="Headcount",SUMIF('08 Allocation Data'!$A$5:$A$34,$A30,'08 Allocation Data'!$D$5:$D$34),IF('07 Support Drivers'!$D$8="FTE",SUMIF('08 Allocation Data'!$A$5:$A$34,$A30,'08 Allocation Data'!$E$5:$E$34),IF('07 Support Drivers'!$D$8="Floor space",SUMIF('08 Allocation Data'!$A$5:$A$34,$A30,'08 Allocation Data'!$F$5:$F$34),IF('07 Support Drivers'!$D$8="Weighted floor space",SUMIF('08 Allocation Data'!$A$5:$A$34,$A30,'08 Allocation Data'!$I$5:$I$34),IF('07 Support Drivers'!$D$8="Cleaning hours",SUMIF('08 Allocation Data'!$A$5:$A$34,$A30,'08 Allocation Data'!$J$5:$J$34),IF('07 Support Drivers'!$D$8="Meals",SUMIF('08 Allocation Data'!$A$5:$A$34,$A30,'08 Allocation Data'!$K$5:$K$34),IF('07 Support Drivers'!$D$8="Direct costs",SUMIF('08 Allocation Data'!$A$5:$A$34,$A30,'08 Allocation Data'!$M$5:$M$34),0)))))))/'07 Support Drivers'!$G$8,0))</f>
        <v>0</v>
      </c>
      <c r="I30" s="55">
        <f>IF('07 Support Drivers'!$D$9="Two-stage finance",SUMIF('05 Support &amp; Income'!$A$5:$A$41,I$4,'05 Support &amp; Income'!$F$5:$F$41)*IF(SUMIF('08 Allocation Data'!$A$5:$A$34,$A30,'08 Allocation Data'!$L$5:$L$34)&gt;0,SUMIF('08 Allocation Data'!$A$5:$A$34,$A30,'08 Allocation Data'!$L$5:$L$34),IFERROR((1-SUM('08 Allocation Data'!$L$5:$L$34))*C30/SUMIFS($C$5:$C$34,'08 Allocation Data'!$L$5:$L$34,0),0)),IFERROR(SUMIF('05 Support &amp; Income'!$A$5:$A$41,I$4,'05 Support &amp; Income'!$F$5:$F$41)*IF('07 Support Drivers'!$D$9="Headcount",SUMIF('08 Allocation Data'!$A$5:$A$34,$A30,'08 Allocation Data'!$D$5:$D$34),IF('07 Support Drivers'!$D$9="FTE",SUMIF('08 Allocation Data'!$A$5:$A$34,$A30,'08 Allocation Data'!$E$5:$E$34),IF('07 Support Drivers'!$D$9="Floor space",SUMIF('08 Allocation Data'!$A$5:$A$34,$A30,'08 Allocation Data'!$F$5:$F$34),IF('07 Support Drivers'!$D$9="Weighted floor space",SUMIF('08 Allocation Data'!$A$5:$A$34,$A30,'08 Allocation Data'!$I$5:$I$34),IF('07 Support Drivers'!$D$9="Cleaning hours",SUMIF('08 Allocation Data'!$A$5:$A$34,$A30,'08 Allocation Data'!$J$5:$J$34),IF('07 Support Drivers'!$D$9="Meals",SUMIF('08 Allocation Data'!$A$5:$A$34,$A30,'08 Allocation Data'!$K$5:$K$34),IF('07 Support Drivers'!$D$9="Direct costs",SUMIF('08 Allocation Data'!$A$5:$A$34,$A30,'08 Allocation Data'!$M$5:$M$34),0)))))))/'07 Support Drivers'!$G$9,0))</f>
        <v>0</v>
      </c>
      <c r="J30" s="55">
        <f>IF('07 Support Drivers'!$D$10="Two-stage finance",SUMIF('05 Support &amp; Income'!$A$5:$A$41,J$4,'05 Support &amp; Income'!$F$5:$F$41)*IF(SUMIF('08 Allocation Data'!$A$5:$A$34,$A30,'08 Allocation Data'!$L$5:$L$34)&gt;0,SUMIF('08 Allocation Data'!$A$5:$A$34,$A30,'08 Allocation Data'!$L$5:$L$34),IFERROR((1-SUM('08 Allocation Data'!$L$5:$L$34))*C30/SUMIFS($C$5:$C$34,'08 Allocation Data'!$L$5:$L$34,0),0)),IFERROR(SUMIF('05 Support &amp; Income'!$A$5:$A$41,J$4,'05 Support &amp; Income'!$F$5:$F$41)*IF('07 Support Drivers'!$D$10="Headcount",SUMIF('08 Allocation Data'!$A$5:$A$34,$A30,'08 Allocation Data'!$D$5:$D$34),IF('07 Support Drivers'!$D$10="FTE",SUMIF('08 Allocation Data'!$A$5:$A$34,$A30,'08 Allocation Data'!$E$5:$E$34),IF('07 Support Drivers'!$D$10="Floor space",SUMIF('08 Allocation Data'!$A$5:$A$34,$A30,'08 Allocation Data'!$F$5:$F$34),IF('07 Support Drivers'!$D$10="Weighted floor space",SUMIF('08 Allocation Data'!$A$5:$A$34,$A30,'08 Allocation Data'!$I$5:$I$34),IF('07 Support Drivers'!$D$10="Cleaning hours",SUMIF('08 Allocation Data'!$A$5:$A$34,$A30,'08 Allocation Data'!$J$5:$J$34),IF('07 Support Drivers'!$D$10="Meals",SUMIF('08 Allocation Data'!$A$5:$A$34,$A30,'08 Allocation Data'!$K$5:$K$34),IF('07 Support Drivers'!$D$10="Direct costs",SUMIF('08 Allocation Data'!$A$5:$A$34,$A30,'08 Allocation Data'!$M$5:$M$34),0)))))))/'07 Support Drivers'!$G$10,0))</f>
        <v>0</v>
      </c>
      <c r="K30" s="55">
        <f>IF('07 Support Drivers'!$D$11="Two-stage finance",SUMIF('05 Support &amp; Income'!$A$5:$A$41,K$4,'05 Support &amp; Income'!$F$5:$F$41)*IF(SUMIF('08 Allocation Data'!$A$5:$A$34,$A30,'08 Allocation Data'!$L$5:$L$34)&gt;0,SUMIF('08 Allocation Data'!$A$5:$A$34,$A30,'08 Allocation Data'!$L$5:$L$34),IFERROR((1-SUM('08 Allocation Data'!$L$5:$L$34))*C30/SUMIFS($C$5:$C$34,'08 Allocation Data'!$L$5:$L$34,0),0)),IFERROR(SUMIF('05 Support &amp; Income'!$A$5:$A$41,K$4,'05 Support &amp; Income'!$F$5:$F$41)*IF('07 Support Drivers'!$D$11="Headcount",SUMIF('08 Allocation Data'!$A$5:$A$34,$A30,'08 Allocation Data'!$D$5:$D$34),IF('07 Support Drivers'!$D$11="FTE",SUMIF('08 Allocation Data'!$A$5:$A$34,$A30,'08 Allocation Data'!$E$5:$E$34),IF('07 Support Drivers'!$D$11="Floor space",SUMIF('08 Allocation Data'!$A$5:$A$34,$A30,'08 Allocation Data'!$F$5:$F$34),IF('07 Support Drivers'!$D$11="Weighted floor space",SUMIF('08 Allocation Data'!$A$5:$A$34,$A30,'08 Allocation Data'!$I$5:$I$34),IF('07 Support Drivers'!$D$11="Cleaning hours",SUMIF('08 Allocation Data'!$A$5:$A$34,$A30,'08 Allocation Data'!$J$5:$J$34),IF('07 Support Drivers'!$D$11="Meals",SUMIF('08 Allocation Data'!$A$5:$A$34,$A30,'08 Allocation Data'!$K$5:$K$34),IF('07 Support Drivers'!$D$11="Direct costs",SUMIF('08 Allocation Data'!$A$5:$A$34,$A30,'08 Allocation Data'!$M$5:$M$34),0)))))))/'07 Support Drivers'!$G$11,0))</f>
        <v>0</v>
      </c>
      <c r="L30" s="55">
        <f>IF('07 Support Drivers'!$D$12="Two-stage finance",SUMIF('05 Support &amp; Income'!$A$5:$A$41,L$4,'05 Support &amp; Income'!$F$5:$F$41)*IF(SUMIF('08 Allocation Data'!$A$5:$A$34,$A30,'08 Allocation Data'!$L$5:$L$34)&gt;0,SUMIF('08 Allocation Data'!$A$5:$A$34,$A30,'08 Allocation Data'!$L$5:$L$34),IFERROR((1-SUM('08 Allocation Data'!$L$5:$L$34))*C30/SUMIFS($C$5:$C$34,'08 Allocation Data'!$L$5:$L$34,0),0)),IFERROR(SUMIF('05 Support &amp; Income'!$A$5:$A$41,L$4,'05 Support &amp; Income'!$F$5:$F$41)*IF('07 Support Drivers'!$D$12="Headcount",SUMIF('08 Allocation Data'!$A$5:$A$34,$A30,'08 Allocation Data'!$D$5:$D$34),IF('07 Support Drivers'!$D$12="FTE",SUMIF('08 Allocation Data'!$A$5:$A$34,$A30,'08 Allocation Data'!$E$5:$E$34),IF('07 Support Drivers'!$D$12="Floor space",SUMIF('08 Allocation Data'!$A$5:$A$34,$A30,'08 Allocation Data'!$F$5:$F$34),IF('07 Support Drivers'!$D$12="Weighted floor space",SUMIF('08 Allocation Data'!$A$5:$A$34,$A30,'08 Allocation Data'!$I$5:$I$34),IF('07 Support Drivers'!$D$12="Cleaning hours",SUMIF('08 Allocation Data'!$A$5:$A$34,$A30,'08 Allocation Data'!$J$5:$J$34),IF('07 Support Drivers'!$D$12="Meals",SUMIF('08 Allocation Data'!$A$5:$A$34,$A30,'08 Allocation Data'!$K$5:$K$34),IF('07 Support Drivers'!$D$12="Direct costs",SUMIF('08 Allocation Data'!$A$5:$A$34,$A30,'08 Allocation Data'!$M$5:$M$34),0)))))))/'07 Support Drivers'!$G$12,0))</f>
        <v>0</v>
      </c>
      <c r="M30" s="55">
        <f>IF('07 Support Drivers'!$D$13="Two-stage finance",SUMIF('05 Support &amp; Income'!$A$5:$A$41,M$4,'05 Support &amp; Income'!$F$5:$F$41)*IF(SUMIF('08 Allocation Data'!$A$5:$A$34,$A30,'08 Allocation Data'!$L$5:$L$34)&gt;0,SUMIF('08 Allocation Data'!$A$5:$A$34,$A30,'08 Allocation Data'!$L$5:$L$34),IFERROR((1-SUM('08 Allocation Data'!$L$5:$L$34))*C30/SUMIFS($C$5:$C$34,'08 Allocation Data'!$L$5:$L$34,0),0)),IFERROR(SUMIF('05 Support &amp; Income'!$A$5:$A$41,M$4,'05 Support &amp; Income'!$F$5:$F$41)*IF('07 Support Drivers'!$D$13="Headcount",SUMIF('08 Allocation Data'!$A$5:$A$34,$A30,'08 Allocation Data'!$D$5:$D$34),IF('07 Support Drivers'!$D$13="FTE",SUMIF('08 Allocation Data'!$A$5:$A$34,$A30,'08 Allocation Data'!$E$5:$E$34),IF('07 Support Drivers'!$D$13="Floor space",SUMIF('08 Allocation Data'!$A$5:$A$34,$A30,'08 Allocation Data'!$F$5:$F$34),IF('07 Support Drivers'!$D$13="Weighted floor space",SUMIF('08 Allocation Data'!$A$5:$A$34,$A30,'08 Allocation Data'!$I$5:$I$34),IF('07 Support Drivers'!$D$13="Cleaning hours",SUMIF('08 Allocation Data'!$A$5:$A$34,$A30,'08 Allocation Data'!$J$5:$J$34),IF('07 Support Drivers'!$D$13="Meals",SUMIF('08 Allocation Data'!$A$5:$A$34,$A30,'08 Allocation Data'!$K$5:$K$34),IF('07 Support Drivers'!$D$13="Direct costs",SUMIF('08 Allocation Data'!$A$5:$A$34,$A30,'08 Allocation Data'!$M$5:$M$34),0)))))))/'07 Support Drivers'!$G$13,0))</f>
        <v>0</v>
      </c>
      <c r="N30" s="55">
        <f>IF('07 Support Drivers'!$D$14="Two-stage finance",SUMIF('05 Support &amp; Income'!$A$5:$A$41,N$4,'05 Support &amp; Income'!$F$5:$F$41)*IF(SUMIF('08 Allocation Data'!$A$5:$A$34,$A30,'08 Allocation Data'!$L$5:$L$34)&gt;0,SUMIF('08 Allocation Data'!$A$5:$A$34,$A30,'08 Allocation Data'!$L$5:$L$34),IFERROR((1-SUM('08 Allocation Data'!$L$5:$L$34))*C30/SUMIFS($C$5:$C$34,'08 Allocation Data'!$L$5:$L$34,0),0)),IFERROR(SUMIF('05 Support &amp; Income'!$A$5:$A$41,N$4,'05 Support &amp; Income'!$F$5:$F$41)*IF('07 Support Drivers'!$D$14="Headcount",SUMIF('08 Allocation Data'!$A$5:$A$34,$A30,'08 Allocation Data'!$D$5:$D$34),IF('07 Support Drivers'!$D$14="FTE",SUMIF('08 Allocation Data'!$A$5:$A$34,$A30,'08 Allocation Data'!$E$5:$E$34),IF('07 Support Drivers'!$D$14="Floor space",SUMIF('08 Allocation Data'!$A$5:$A$34,$A30,'08 Allocation Data'!$F$5:$F$34),IF('07 Support Drivers'!$D$14="Weighted floor space",SUMIF('08 Allocation Data'!$A$5:$A$34,$A30,'08 Allocation Data'!$I$5:$I$34),IF('07 Support Drivers'!$D$14="Cleaning hours",SUMIF('08 Allocation Data'!$A$5:$A$34,$A30,'08 Allocation Data'!$J$5:$J$34),IF('07 Support Drivers'!$D$14="Meals",SUMIF('08 Allocation Data'!$A$5:$A$34,$A30,'08 Allocation Data'!$K$5:$K$34),IF('07 Support Drivers'!$D$14="Direct costs",SUMIF('08 Allocation Data'!$A$5:$A$34,$A30,'08 Allocation Data'!$M$5:$M$34),0)))))))/'07 Support Drivers'!$G$14,0))</f>
        <v>0</v>
      </c>
      <c r="O30" s="55">
        <f>IF('07 Support Drivers'!$D$15="Two-stage finance",SUMIF('05 Support &amp; Income'!$A$5:$A$41,O$4,'05 Support &amp; Income'!$F$5:$F$41)*IF(SUMIF('08 Allocation Data'!$A$5:$A$34,$A30,'08 Allocation Data'!$L$5:$L$34)&gt;0,SUMIF('08 Allocation Data'!$A$5:$A$34,$A30,'08 Allocation Data'!$L$5:$L$34),IFERROR((1-SUM('08 Allocation Data'!$L$5:$L$34))*C30/SUMIFS($C$5:$C$34,'08 Allocation Data'!$L$5:$L$34,0),0)),IFERROR(SUMIF('05 Support &amp; Income'!$A$5:$A$41,O$4,'05 Support &amp; Income'!$F$5:$F$41)*IF('07 Support Drivers'!$D$15="Headcount",SUMIF('08 Allocation Data'!$A$5:$A$34,$A30,'08 Allocation Data'!$D$5:$D$34),IF('07 Support Drivers'!$D$15="FTE",SUMIF('08 Allocation Data'!$A$5:$A$34,$A30,'08 Allocation Data'!$E$5:$E$34),IF('07 Support Drivers'!$D$15="Floor space",SUMIF('08 Allocation Data'!$A$5:$A$34,$A30,'08 Allocation Data'!$F$5:$F$34),IF('07 Support Drivers'!$D$15="Weighted floor space",SUMIF('08 Allocation Data'!$A$5:$A$34,$A30,'08 Allocation Data'!$I$5:$I$34),IF('07 Support Drivers'!$D$15="Cleaning hours",SUMIF('08 Allocation Data'!$A$5:$A$34,$A30,'08 Allocation Data'!$J$5:$J$34),IF('07 Support Drivers'!$D$15="Meals",SUMIF('08 Allocation Data'!$A$5:$A$34,$A30,'08 Allocation Data'!$K$5:$K$34),IF('07 Support Drivers'!$D$15="Direct costs",SUMIF('08 Allocation Data'!$A$5:$A$34,$A30,'08 Allocation Data'!$M$5:$M$34),0)))))))/'07 Support Drivers'!$G$15,0))</f>
        <v>0</v>
      </c>
      <c r="P30" s="55">
        <f>IF('07 Support Drivers'!$D$16="Two-stage finance",SUMIF('05 Support &amp; Income'!$A$5:$A$41,P$4,'05 Support &amp; Income'!$F$5:$F$41)*IF(SUMIF('08 Allocation Data'!$A$5:$A$34,$A30,'08 Allocation Data'!$L$5:$L$34)&gt;0,SUMIF('08 Allocation Data'!$A$5:$A$34,$A30,'08 Allocation Data'!$L$5:$L$34),IFERROR((1-SUM('08 Allocation Data'!$L$5:$L$34))*C30/SUMIFS($C$5:$C$34,'08 Allocation Data'!$L$5:$L$34,0),0)),IFERROR(SUMIF('05 Support &amp; Income'!$A$5:$A$41,P$4,'05 Support &amp; Income'!$F$5:$F$41)*IF('07 Support Drivers'!$D$16="Headcount",SUMIF('08 Allocation Data'!$A$5:$A$34,$A30,'08 Allocation Data'!$D$5:$D$34),IF('07 Support Drivers'!$D$16="FTE",SUMIF('08 Allocation Data'!$A$5:$A$34,$A30,'08 Allocation Data'!$E$5:$E$34),IF('07 Support Drivers'!$D$16="Floor space",SUMIF('08 Allocation Data'!$A$5:$A$34,$A30,'08 Allocation Data'!$F$5:$F$34),IF('07 Support Drivers'!$D$16="Weighted floor space",SUMIF('08 Allocation Data'!$A$5:$A$34,$A30,'08 Allocation Data'!$I$5:$I$34),IF('07 Support Drivers'!$D$16="Cleaning hours",SUMIF('08 Allocation Data'!$A$5:$A$34,$A30,'08 Allocation Data'!$J$5:$J$34),IF('07 Support Drivers'!$D$16="Meals",SUMIF('08 Allocation Data'!$A$5:$A$34,$A30,'08 Allocation Data'!$K$5:$K$34),IF('07 Support Drivers'!$D$16="Direct costs",SUMIF('08 Allocation Data'!$A$5:$A$34,$A30,'08 Allocation Data'!$M$5:$M$34),0)))))))/'07 Support Drivers'!$G$16,0))</f>
        <v>0</v>
      </c>
      <c r="Q30" s="55">
        <f>IF('07 Support Drivers'!$D$17="Two-stage finance",SUMIF('05 Support &amp; Income'!$A$5:$A$41,Q$4,'05 Support &amp; Income'!$F$5:$F$41)*IF(SUMIF('08 Allocation Data'!$A$5:$A$34,$A30,'08 Allocation Data'!$L$5:$L$34)&gt;0,SUMIF('08 Allocation Data'!$A$5:$A$34,$A30,'08 Allocation Data'!$L$5:$L$34),IFERROR((1-SUM('08 Allocation Data'!$L$5:$L$34))*C30/SUMIFS($C$5:$C$34,'08 Allocation Data'!$L$5:$L$34,0),0)),IFERROR(SUMIF('05 Support &amp; Income'!$A$5:$A$41,Q$4,'05 Support &amp; Income'!$F$5:$F$41)*IF('07 Support Drivers'!$D$17="Headcount",SUMIF('08 Allocation Data'!$A$5:$A$34,$A30,'08 Allocation Data'!$D$5:$D$34),IF('07 Support Drivers'!$D$17="FTE",SUMIF('08 Allocation Data'!$A$5:$A$34,$A30,'08 Allocation Data'!$E$5:$E$34),IF('07 Support Drivers'!$D$17="Floor space",SUMIF('08 Allocation Data'!$A$5:$A$34,$A30,'08 Allocation Data'!$F$5:$F$34),IF('07 Support Drivers'!$D$17="Weighted floor space",SUMIF('08 Allocation Data'!$A$5:$A$34,$A30,'08 Allocation Data'!$I$5:$I$34),IF('07 Support Drivers'!$D$17="Cleaning hours",SUMIF('08 Allocation Data'!$A$5:$A$34,$A30,'08 Allocation Data'!$J$5:$J$34),IF('07 Support Drivers'!$D$17="Meals",SUMIF('08 Allocation Data'!$A$5:$A$34,$A30,'08 Allocation Data'!$K$5:$K$34),IF('07 Support Drivers'!$D$17="Direct costs",SUMIF('08 Allocation Data'!$A$5:$A$34,$A30,'08 Allocation Data'!$M$5:$M$34),0)))))))/'07 Support Drivers'!$G$17,0))</f>
        <v>0</v>
      </c>
      <c r="R30" s="48">
        <f t="shared" si="0"/>
        <v>0</v>
      </c>
      <c r="S30" s="48">
        <f>SUMIF('04 Service Costs'!$A$5:$A$31,A30,'04 Service Costs'!$M$5:$M$31)+SUMIF('06 Shared Cost Pools'!$D$21:$D$260,A30,'06 Shared Cost Pools'!$I$21:$I$260)</f>
        <v>0</v>
      </c>
      <c r="T30" s="48">
        <f>SUMIF('04 Service Costs'!$A$5:$A$31,A30,'04 Service Costs'!$N$5:$N$31)+SUMIF('06 Shared Cost Pools'!$D$21:$D$260,A30,'06 Shared Cost Pools'!$J$21:$J$260)</f>
        <v>0</v>
      </c>
      <c r="U30" s="48">
        <f>SUMIF('04 Service Costs'!$A$5:$A$31,A30,'04 Service Costs'!$O$5:$O$31)+SUMIF('06 Shared Cost Pools'!$D$21:$D$260,A30,'06 Shared Cost Pools'!$K$21:$K$260)</f>
        <v>0</v>
      </c>
      <c r="V30" s="48">
        <f t="shared" si="1"/>
        <v>0</v>
      </c>
    </row>
    <row r="31" spans="1:22">
      <c r="A31" s="3" t="s">
        <v>294</v>
      </c>
      <c r="B31" s="3" t="s">
        <v>295</v>
      </c>
      <c r="C31" s="55">
        <f>SUMIF('04 Service Costs'!$A$5:$A$31,A31,'04 Service Costs'!$L$5:$L$31)+SUMIF('05 Support &amp; Income'!$A$5:$A$41,A31,'05 Support &amp; Income'!$F$5:$F$41)</f>
        <v>0</v>
      </c>
      <c r="D31" s="55">
        <f>SUMIF('06 Shared Cost Pools'!$D$21:$D$260,A31,'06 Shared Cost Pools'!$F$21:$F$260)</f>
        <v>0</v>
      </c>
      <c r="E31" s="55">
        <f>IF('07 Support Drivers'!$D$5="Two-stage finance",SUMIF('05 Support &amp; Income'!$A$5:$A$41,E$4,'05 Support &amp; Income'!$F$5:$F$41)*IF(SUMIF('08 Allocation Data'!$A$5:$A$34,$A31,'08 Allocation Data'!$L$5:$L$34)&gt;0,SUMIF('08 Allocation Data'!$A$5:$A$34,$A31,'08 Allocation Data'!$L$5:$L$34),IFERROR((1-SUM('08 Allocation Data'!$L$5:$L$34))*C31/SUMIFS($C$5:$C$34,'08 Allocation Data'!$L$5:$L$34,0),0)),IFERROR(SUMIF('05 Support &amp; Income'!$A$5:$A$41,E$4,'05 Support &amp; Income'!$F$5:$F$41)*IF('07 Support Drivers'!$D$5="Headcount",SUMIF('08 Allocation Data'!$A$5:$A$34,$A31,'08 Allocation Data'!$D$5:$D$34),IF('07 Support Drivers'!$D$5="FTE",SUMIF('08 Allocation Data'!$A$5:$A$34,$A31,'08 Allocation Data'!$E$5:$E$34),IF('07 Support Drivers'!$D$5="Floor space",SUMIF('08 Allocation Data'!$A$5:$A$34,$A31,'08 Allocation Data'!$F$5:$F$34),IF('07 Support Drivers'!$D$5="Weighted floor space",SUMIF('08 Allocation Data'!$A$5:$A$34,$A31,'08 Allocation Data'!$I$5:$I$34),IF('07 Support Drivers'!$D$5="Cleaning hours",SUMIF('08 Allocation Data'!$A$5:$A$34,$A31,'08 Allocation Data'!$J$5:$J$34),IF('07 Support Drivers'!$D$5="Meals",SUMIF('08 Allocation Data'!$A$5:$A$34,$A31,'08 Allocation Data'!$K$5:$K$34),IF('07 Support Drivers'!$D$5="Direct costs",SUMIF('08 Allocation Data'!$A$5:$A$34,$A31,'08 Allocation Data'!$M$5:$M$34),0)))))))/'07 Support Drivers'!$G$5,0))</f>
        <v>0</v>
      </c>
      <c r="F31" s="55">
        <f>IF('07 Support Drivers'!$D$6="Two-stage finance",SUMIF('05 Support &amp; Income'!$A$5:$A$41,F$4,'05 Support &amp; Income'!$F$5:$F$41)*IF(SUMIF('08 Allocation Data'!$A$5:$A$34,$A31,'08 Allocation Data'!$L$5:$L$34)&gt;0,SUMIF('08 Allocation Data'!$A$5:$A$34,$A31,'08 Allocation Data'!$L$5:$L$34),IFERROR((1-SUM('08 Allocation Data'!$L$5:$L$34))*C31/SUMIFS($C$5:$C$34,'08 Allocation Data'!$L$5:$L$34,0),0)),IFERROR(SUMIF('05 Support &amp; Income'!$A$5:$A$41,F$4,'05 Support &amp; Income'!$F$5:$F$41)*IF('07 Support Drivers'!$D$6="Headcount",SUMIF('08 Allocation Data'!$A$5:$A$34,$A31,'08 Allocation Data'!$D$5:$D$34),IF('07 Support Drivers'!$D$6="FTE",SUMIF('08 Allocation Data'!$A$5:$A$34,$A31,'08 Allocation Data'!$E$5:$E$34),IF('07 Support Drivers'!$D$6="Floor space",SUMIF('08 Allocation Data'!$A$5:$A$34,$A31,'08 Allocation Data'!$F$5:$F$34),IF('07 Support Drivers'!$D$6="Weighted floor space",SUMIF('08 Allocation Data'!$A$5:$A$34,$A31,'08 Allocation Data'!$I$5:$I$34),IF('07 Support Drivers'!$D$6="Cleaning hours",SUMIF('08 Allocation Data'!$A$5:$A$34,$A31,'08 Allocation Data'!$J$5:$J$34),IF('07 Support Drivers'!$D$6="Meals",SUMIF('08 Allocation Data'!$A$5:$A$34,$A31,'08 Allocation Data'!$K$5:$K$34),IF('07 Support Drivers'!$D$6="Direct costs",SUMIF('08 Allocation Data'!$A$5:$A$34,$A31,'08 Allocation Data'!$M$5:$M$34),0)))))))/'07 Support Drivers'!$G$6,0))</f>
        <v>0</v>
      </c>
      <c r="G31" s="55">
        <f>IF('07 Support Drivers'!$D$7="Two-stage finance",SUMIF('05 Support &amp; Income'!$A$5:$A$41,G$4,'05 Support &amp; Income'!$F$5:$F$41)*IF(SUMIF('08 Allocation Data'!$A$5:$A$34,$A31,'08 Allocation Data'!$L$5:$L$34)&gt;0,SUMIF('08 Allocation Data'!$A$5:$A$34,$A31,'08 Allocation Data'!$L$5:$L$34),IFERROR((1-SUM('08 Allocation Data'!$L$5:$L$34))*C31/SUMIFS($C$5:$C$34,'08 Allocation Data'!$L$5:$L$34,0),0)),IFERROR(SUMIF('05 Support &amp; Income'!$A$5:$A$41,G$4,'05 Support &amp; Income'!$F$5:$F$41)*IF('07 Support Drivers'!$D$7="Headcount",SUMIF('08 Allocation Data'!$A$5:$A$34,$A31,'08 Allocation Data'!$D$5:$D$34),IF('07 Support Drivers'!$D$7="FTE",SUMIF('08 Allocation Data'!$A$5:$A$34,$A31,'08 Allocation Data'!$E$5:$E$34),IF('07 Support Drivers'!$D$7="Floor space",SUMIF('08 Allocation Data'!$A$5:$A$34,$A31,'08 Allocation Data'!$F$5:$F$34),IF('07 Support Drivers'!$D$7="Weighted floor space",SUMIF('08 Allocation Data'!$A$5:$A$34,$A31,'08 Allocation Data'!$I$5:$I$34),IF('07 Support Drivers'!$D$7="Cleaning hours",SUMIF('08 Allocation Data'!$A$5:$A$34,$A31,'08 Allocation Data'!$J$5:$J$34),IF('07 Support Drivers'!$D$7="Meals",SUMIF('08 Allocation Data'!$A$5:$A$34,$A31,'08 Allocation Data'!$K$5:$K$34),IF('07 Support Drivers'!$D$7="Direct costs",SUMIF('08 Allocation Data'!$A$5:$A$34,$A31,'08 Allocation Data'!$M$5:$M$34),0)))))))/'07 Support Drivers'!$G$7,0))</f>
        <v>0</v>
      </c>
      <c r="H31" s="55">
        <f>IF('07 Support Drivers'!$D$8="Two-stage finance",SUMIF('05 Support &amp; Income'!$A$5:$A$41,H$4,'05 Support &amp; Income'!$F$5:$F$41)*IF(SUMIF('08 Allocation Data'!$A$5:$A$34,$A31,'08 Allocation Data'!$L$5:$L$34)&gt;0,SUMIF('08 Allocation Data'!$A$5:$A$34,$A31,'08 Allocation Data'!$L$5:$L$34),IFERROR((1-SUM('08 Allocation Data'!$L$5:$L$34))*C31/SUMIFS($C$5:$C$34,'08 Allocation Data'!$L$5:$L$34,0),0)),IFERROR(SUMIF('05 Support &amp; Income'!$A$5:$A$41,H$4,'05 Support &amp; Income'!$F$5:$F$41)*IF('07 Support Drivers'!$D$8="Headcount",SUMIF('08 Allocation Data'!$A$5:$A$34,$A31,'08 Allocation Data'!$D$5:$D$34),IF('07 Support Drivers'!$D$8="FTE",SUMIF('08 Allocation Data'!$A$5:$A$34,$A31,'08 Allocation Data'!$E$5:$E$34),IF('07 Support Drivers'!$D$8="Floor space",SUMIF('08 Allocation Data'!$A$5:$A$34,$A31,'08 Allocation Data'!$F$5:$F$34),IF('07 Support Drivers'!$D$8="Weighted floor space",SUMIF('08 Allocation Data'!$A$5:$A$34,$A31,'08 Allocation Data'!$I$5:$I$34),IF('07 Support Drivers'!$D$8="Cleaning hours",SUMIF('08 Allocation Data'!$A$5:$A$34,$A31,'08 Allocation Data'!$J$5:$J$34),IF('07 Support Drivers'!$D$8="Meals",SUMIF('08 Allocation Data'!$A$5:$A$34,$A31,'08 Allocation Data'!$K$5:$K$34),IF('07 Support Drivers'!$D$8="Direct costs",SUMIF('08 Allocation Data'!$A$5:$A$34,$A31,'08 Allocation Data'!$M$5:$M$34),0)))))))/'07 Support Drivers'!$G$8,0))</f>
        <v>0</v>
      </c>
      <c r="I31" s="55">
        <f>IF('07 Support Drivers'!$D$9="Two-stage finance",SUMIF('05 Support &amp; Income'!$A$5:$A$41,I$4,'05 Support &amp; Income'!$F$5:$F$41)*IF(SUMIF('08 Allocation Data'!$A$5:$A$34,$A31,'08 Allocation Data'!$L$5:$L$34)&gt;0,SUMIF('08 Allocation Data'!$A$5:$A$34,$A31,'08 Allocation Data'!$L$5:$L$34),IFERROR((1-SUM('08 Allocation Data'!$L$5:$L$34))*C31/SUMIFS($C$5:$C$34,'08 Allocation Data'!$L$5:$L$34,0),0)),IFERROR(SUMIF('05 Support &amp; Income'!$A$5:$A$41,I$4,'05 Support &amp; Income'!$F$5:$F$41)*IF('07 Support Drivers'!$D$9="Headcount",SUMIF('08 Allocation Data'!$A$5:$A$34,$A31,'08 Allocation Data'!$D$5:$D$34),IF('07 Support Drivers'!$D$9="FTE",SUMIF('08 Allocation Data'!$A$5:$A$34,$A31,'08 Allocation Data'!$E$5:$E$34),IF('07 Support Drivers'!$D$9="Floor space",SUMIF('08 Allocation Data'!$A$5:$A$34,$A31,'08 Allocation Data'!$F$5:$F$34),IF('07 Support Drivers'!$D$9="Weighted floor space",SUMIF('08 Allocation Data'!$A$5:$A$34,$A31,'08 Allocation Data'!$I$5:$I$34),IF('07 Support Drivers'!$D$9="Cleaning hours",SUMIF('08 Allocation Data'!$A$5:$A$34,$A31,'08 Allocation Data'!$J$5:$J$34),IF('07 Support Drivers'!$D$9="Meals",SUMIF('08 Allocation Data'!$A$5:$A$34,$A31,'08 Allocation Data'!$K$5:$K$34),IF('07 Support Drivers'!$D$9="Direct costs",SUMIF('08 Allocation Data'!$A$5:$A$34,$A31,'08 Allocation Data'!$M$5:$M$34),0)))))))/'07 Support Drivers'!$G$9,0))</f>
        <v>0</v>
      </c>
      <c r="J31" s="55">
        <f>IF('07 Support Drivers'!$D$10="Two-stage finance",SUMIF('05 Support &amp; Income'!$A$5:$A$41,J$4,'05 Support &amp; Income'!$F$5:$F$41)*IF(SUMIF('08 Allocation Data'!$A$5:$A$34,$A31,'08 Allocation Data'!$L$5:$L$34)&gt;0,SUMIF('08 Allocation Data'!$A$5:$A$34,$A31,'08 Allocation Data'!$L$5:$L$34),IFERROR((1-SUM('08 Allocation Data'!$L$5:$L$34))*C31/SUMIFS($C$5:$C$34,'08 Allocation Data'!$L$5:$L$34,0),0)),IFERROR(SUMIF('05 Support &amp; Income'!$A$5:$A$41,J$4,'05 Support &amp; Income'!$F$5:$F$41)*IF('07 Support Drivers'!$D$10="Headcount",SUMIF('08 Allocation Data'!$A$5:$A$34,$A31,'08 Allocation Data'!$D$5:$D$34),IF('07 Support Drivers'!$D$10="FTE",SUMIF('08 Allocation Data'!$A$5:$A$34,$A31,'08 Allocation Data'!$E$5:$E$34),IF('07 Support Drivers'!$D$10="Floor space",SUMIF('08 Allocation Data'!$A$5:$A$34,$A31,'08 Allocation Data'!$F$5:$F$34),IF('07 Support Drivers'!$D$10="Weighted floor space",SUMIF('08 Allocation Data'!$A$5:$A$34,$A31,'08 Allocation Data'!$I$5:$I$34),IF('07 Support Drivers'!$D$10="Cleaning hours",SUMIF('08 Allocation Data'!$A$5:$A$34,$A31,'08 Allocation Data'!$J$5:$J$34),IF('07 Support Drivers'!$D$10="Meals",SUMIF('08 Allocation Data'!$A$5:$A$34,$A31,'08 Allocation Data'!$K$5:$K$34),IF('07 Support Drivers'!$D$10="Direct costs",SUMIF('08 Allocation Data'!$A$5:$A$34,$A31,'08 Allocation Data'!$M$5:$M$34),0)))))))/'07 Support Drivers'!$G$10,0))</f>
        <v>0</v>
      </c>
      <c r="K31" s="55">
        <f>IF('07 Support Drivers'!$D$11="Two-stage finance",SUMIF('05 Support &amp; Income'!$A$5:$A$41,K$4,'05 Support &amp; Income'!$F$5:$F$41)*IF(SUMIF('08 Allocation Data'!$A$5:$A$34,$A31,'08 Allocation Data'!$L$5:$L$34)&gt;0,SUMIF('08 Allocation Data'!$A$5:$A$34,$A31,'08 Allocation Data'!$L$5:$L$34),IFERROR((1-SUM('08 Allocation Data'!$L$5:$L$34))*C31/SUMIFS($C$5:$C$34,'08 Allocation Data'!$L$5:$L$34,0),0)),IFERROR(SUMIF('05 Support &amp; Income'!$A$5:$A$41,K$4,'05 Support &amp; Income'!$F$5:$F$41)*IF('07 Support Drivers'!$D$11="Headcount",SUMIF('08 Allocation Data'!$A$5:$A$34,$A31,'08 Allocation Data'!$D$5:$D$34),IF('07 Support Drivers'!$D$11="FTE",SUMIF('08 Allocation Data'!$A$5:$A$34,$A31,'08 Allocation Data'!$E$5:$E$34),IF('07 Support Drivers'!$D$11="Floor space",SUMIF('08 Allocation Data'!$A$5:$A$34,$A31,'08 Allocation Data'!$F$5:$F$34),IF('07 Support Drivers'!$D$11="Weighted floor space",SUMIF('08 Allocation Data'!$A$5:$A$34,$A31,'08 Allocation Data'!$I$5:$I$34),IF('07 Support Drivers'!$D$11="Cleaning hours",SUMIF('08 Allocation Data'!$A$5:$A$34,$A31,'08 Allocation Data'!$J$5:$J$34),IF('07 Support Drivers'!$D$11="Meals",SUMIF('08 Allocation Data'!$A$5:$A$34,$A31,'08 Allocation Data'!$K$5:$K$34),IF('07 Support Drivers'!$D$11="Direct costs",SUMIF('08 Allocation Data'!$A$5:$A$34,$A31,'08 Allocation Data'!$M$5:$M$34),0)))))))/'07 Support Drivers'!$G$11,0))</f>
        <v>0</v>
      </c>
      <c r="L31" s="55">
        <f>IF('07 Support Drivers'!$D$12="Two-stage finance",SUMIF('05 Support &amp; Income'!$A$5:$A$41,L$4,'05 Support &amp; Income'!$F$5:$F$41)*IF(SUMIF('08 Allocation Data'!$A$5:$A$34,$A31,'08 Allocation Data'!$L$5:$L$34)&gt;0,SUMIF('08 Allocation Data'!$A$5:$A$34,$A31,'08 Allocation Data'!$L$5:$L$34),IFERROR((1-SUM('08 Allocation Data'!$L$5:$L$34))*C31/SUMIFS($C$5:$C$34,'08 Allocation Data'!$L$5:$L$34,0),0)),IFERROR(SUMIF('05 Support &amp; Income'!$A$5:$A$41,L$4,'05 Support &amp; Income'!$F$5:$F$41)*IF('07 Support Drivers'!$D$12="Headcount",SUMIF('08 Allocation Data'!$A$5:$A$34,$A31,'08 Allocation Data'!$D$5:$D$34),IF('07 Support Drivers'!$D$12="FTE",SUMIF('08 Allocation Data'!$A$5:$A$34,$A31,'08 Allocation Data'!$E$5:$E$34),IF('07 Support Drivers'!$D$12="Floor space",SUMIF('08 Allocation Data'!$A$5:$A$34,$A31,'08 Allocation Data'!$F$5:$F$34),IF('07 Support Drivers'!$D$12="Weighted floor space",SUMIF('08 Allocation Data'!$A$5:$A$34,$A31,'08 Allocation Data'!$I$5:$I$34),IF('07 Support Drivers'!$D$12="Cleaning hours",SUMIF('08 Allocation Data'!$A$5:$A$34,$A31,'08 Allocation Data'!$J$5:$J$34),IF('07 Support Drivers'!$D$12="Meals",SUMIF('08 Allocation Data'!$A$5:$A$34,$A31,'08 Allocation Data'!$K$5:$K$34),IF('07 Support Drivers'!$D$12="Direct costs",SUMIF('08 Allocation Data'!$A$5:$A$34,$A31,'08 Allocation Data'!$M$5:$M$34),0)))))))/'07 Support Drivers'!$G$12,0))</f>
        <v>0</v>
      </c>
      <c r="M31" s="55">
        <f>IF('07 Support Drivers'!$D$13="Two-stage finance",SUMIF('05 Support &amp; Income'!$A$5:$A$41,M$4,'05 Support &amp; Income'!$F$5:$F$41)*IF(SUMIF('08 Allocation Data'!$A$5:$A$34,$A31,'08 Allocation Data'!$L$5:$L$34)&gt;0,SUMIF('08 Allocation Data'!$A$5:$A$34,$A31,'08 Allocation Data'!$L$5:$L$34),IFERROR((1-SUM('08 Allocation Data'!$L$5:$L$34))*C31/SUMIFS($C$5:$C$34,'08 Allocation Data'!$L$5:$L$34,0),0)),IFERROR(SUMIF('05 Support &amp; Income'!$A$5:$A$41,M$4,'05 Support &amp; Income'!$F$5:$F$41)*IF('07 Support Drivers'!$D$13="Headcount",SUMIF('08 Allocation Data'!$A$5:$A$34,$A31,'08 Allocation Data'!$D$5:$D$34),IF('07 Support Drivers'!$D$13="FTE",SUMIF('08 Allocation Data'!$A$5:$A$34,$A31,'08 Allocation Data'!$E$5:$E$34),IF('07 Support Drivers'!$D$13="Floor space",SUMIF('08 Allocation Data'!$A$5:$A$34,$A31,'08 Allocation Data'!$F$5:$F$34),IF('07 Support Drivers'!$D$13="Weighted floor space",SUMIF('08 Allocation Data'!$A$5:$A$34,$A31,'08 Allocation Data'!$I$5:$I$34),IF('07 Support Drivers'!$D$13="Cleaning hours",SUMIF('08 Allocation Data'!$A$5:$A$34,$A31,'08 Allocation Data'!$J$5:$J$34),IF('07 Support Drivers'!$D$13="Meals",SUMIF('08 Allocation Data'!$A$5:$A$34,$A31,'08 Allocation Data'!$K$5:$K$34),IF('07 Support Drivers'!$D$13="Direct costs",SUMIF('08 Allocation Data'!$A$5:$A$34,$A31,'08 Allocation Data'!$M$5:$M$34),0)))))))/'07 Support Drivers'!$G$13,0))</f>
        <v>0</v>
      </c>
      <c r="N31" s="55">
        <f>IF('07 Support Drivers'!$D$14="Two-stage finance",SUMIF('05 Support &amp; Income'!$A$5:$A$41,N$4,'05 Support &amp; Income'!$F$5:$F$41)*IF(SUMIF('08 Allocation Data'!$A$5:$A$34,$A31,'08 Allocation Data'!$L$5:$L$34)&gt;0,SUMIF('08 Allocation Data'!$A$5:$A$34,$A31,'08 Allocation Data'!$L$5:$L$34),IFERROR((1-SUM('08 Allocation Data'!$L$5:$L$34))*C31/SUMIFS($C$5:$C$34,'08 Allocation Data'!$L$5:$L$34,0),0)),IFERROR(SUMIF('05 Support &amp; Income'!$A$5:$A$41,N$4,'05 Support &amp; Income'!$F$5:$F$41)*IF('07 Support Drivers'!$D$14="Headcount",SUMIF('08 Allocation Data'!$A$5:$A$34,$A31,'08 Allocation Data'!$D$5:$D$34),IF('07 Support Drivers'!$D$14="FTE",SUMIF('08 Allocation Data'!$A$5:$A$34,$A31,'08 Allocation Data'!$E$5:$E$34),IF('07 Support Drivers'!$D$14="Floor space",SUMIF('08 Allocation Data'!$A$5:$A$34,$A31,'08 Allocation Data'!$F$5:$F$34),IF('07 Support Drivers'!$D$14="Weighted floor space",SUMIF('08 Allocation Data'!$A$5:$A$34,$A31,'08 Allocation Data'!$I$5:$I$34),IF('07 Support Drivers'!$D$14="Cleaning hours",SUMIF('08 Allocation Data'!$A$5:$A$34,$A31,'08 Allocation Data'!$J$5:$J$34),IF('07 Support Drivers'!$D$14="Meals",SUMIF('08 Allocation Data'!$A$5:$A$34,$A31,'08 Allocation Data'!$K$5:$K$34),IF('07 Support Drivers'!$D$14="Direct costs",SUMIF('08 Allocation Data'!$A$5:$A$34,$A31,'08 Allocation Data'!$M$5:$M$34),0)))))))/'07 Support Drivers'!$G$14,0))</f>
        <v>0</v>
      </c>
      <c r="O31" s="55">
        <f>IF('07 Support Drivers'!$D$15="Two-stage finance",SUMIF('05 Support &amp; Income'!$A$5:$A$41,O$4,'05 Support &amp; Income'!$F$5:$F$41)*IF(SUMIF('08 Allocation Data'!$A$5:$A$34,$A31,'08 Allocation Data'!$L$5:$L$34)&gt;0,SUMIF('08 Allocation Data'!$A$5:$A$34,$A31,'08 Allocation Data'!$L$5:$L$34),IFERROR((1-SUM('08 Allocation Data'!$L$5:$L$34))*C31/SUMIFS($C$5:$C$34,'08 Allocation Data'!$L$5:$L$34,0),0)),IFERROR(SUMIF('05 Support &amp; Income'!$A$5:$A$41,O$4,'05 Support &amp; Income'!$F$5:$F$41)*IF('07 Support Drivers'!$D$15="Headcount",SUMIF('08 Allocation Data'!$A$5:$A$34,$A31,'08 Allocation Data'!$D$5:$D$34),IF('07 Support Drivers'!$D$15="FTE",SUMIF('08 Allocation Data'!$A$5:$A$34,$A31,'08 Allocation Data'!$E$5:$E$34),IF('07 Support Drivers'!$D$15="Floor space",SUMIF('08 Allocation Data'!$A$5:$A$34,$A31,'08 Allocation Data'!$F$5:$F$34),IF('07 Support Drivers'!$D$15="Weighted floor space",SUMIF('08 Allocation Data'!$A$5:$A$34,$A31,'08 Allocation Data'!$I$5:$I$34),IF('07 Support Drivers'!$D$15="Cleaning hours",SUMIF('08 Allocation Data'!$A$5:$A$34,$A31,'08 Allocation Data'!$J$5:$J$34),IF('07 Support Drivers'!$D$15="Meals",SUMIF('08 Allocation Data'!$A$5:$A$34,$A31,'08 Allocation Data'!$K$5:$K$34),IF('07 Support Drivers'!$D$15="Direct costs",SUMIF('08 Allocation Data'!$A$5:$A$34,$A31,'08 Allocation Data'!$M$5:$M$34),0)))))))/'07 Support Drivers'!$G$15,0))</f>
        <v>0</v>
      </c>
      <c r="P31" s="55">
        <f>IF('07 Support Drivers'!$D$16="Two-stage finance",SUMIF('05 Support &amp; Income'!$A$5:$A$41,P$4,'05 Support &amp; Income'!$F$5:$F$41)*IF(SUMIF('08 Allocation Data'!$A$5:$A$34,$A31,'08 Allocation Data'!$L$5:$L$34)&gt;0,SUMIF('08 Allocation Data'!$A$5:$A$34,$A31,'08 Allocation Data'!$L$5:$L$34),IFERROR((1-SUM('08 Allocation Data'!$L$5:$L$34))*C31/SUMIFS($C$5:$C$34,'08 Allocation Data'!$L$5:$L$34,0),0)),IFERROR(SUMIF('05 Support &amp; Income'!$A$5:$A$41,P$4,'05 Support &amp; Income'!$F$5:$F$41)*IF('07 Support Drivers'!$D$16="Headcount",SUMIF('08 Allocation Data'!$A$5:$A$34,$A31,'08 Allocation Data'!$D$5:$D$34),IF('07 Support Drivers'!$D$16="FTE",SUMIF('08 Allocation Data'!$A$5:$A$34,$A31,'08 Allocation Data'!$E$5:$E$34),IF('07 Support Drivers'!$D$16="Floor space",SUMIF('08 Allocation Data'!$A$5:$A$34,$A31,'08 Allocation Data'!$F$5:$F$34),IF('07 Support Drivers'!$D$16="Weighted floor space",SUMIF('08 Allocation Data'!$A$5:$A$34,$A31,'08 Allocation Data'!$I$5:$I$34),IF('07 Support Drivers'!$D$16="Cleaning hours",SUMIF('08 Allocation Data'!$A$5:$A$34,$A31,'08 Allocation Data'!$J$5:$J$34),IF('07 Support Drivers'!$D$16="Meals",SUMIF('08 Allocation Data'!$A$5:$A$34,$A31,'08 Allocation Data'!$K$5:$K$34),IF('07 Support Drivers'!$D$16="Direct costs",SUMIF('08 Allocation Data'!$A$5:$A$34,$A31,'08 Allocation Data'!$M$5:$M$34),0)))))))/'07 Support Drivers'!$G$16,0))</f>
        <v>0</v>
      </c>
      <c r="Q31" s="55">
        <f>IF('07 Support Drivers'!$D$17="Two-stage finance",SUMIF('05 Support &amp; Income'!$A$5:$A$41,Q$4,'05 Support &amp; Income'!$F$5:$F$41)*IF(SUMIF('08 Allocation Data'!$A$5:$A$34,$A31,'08 Allocation Data'!$L$5:$L$34)&gt;0,SUMIF('08 Allocation Data'!$A$5:$A$34,$A31,'08 Allocation Data'!$L$5:$L$34),IFERROR((1-SUM('08 Allocation Data'!$L$5:$L$34))*C31/SUMIFS($C$5:$C$34,'08 Allocation Data'!$L$5:$L$34,0),0)),IFERROR(SUMIF('05 Support &amp; Income'!$A$5:$A$41,Q$4,'05 Support &amp; Income'!$F$5:$F$41)*IF('07 Support Drivers'!$D$17="Headcount",SUMIF('08 Allocation Data'!$A$5:$A$34,$A31,'08 Allocation Data'!$D$5:$D$34),IF('07 Support Drivers'!$D$17="FTE",SUMIF('08 Allocation Data'!$A$5:$A$34,$A31,'08 Allocation Data'!$E$5:$E$34),IF('07 Support Drivers'!$D$17="Floor space",SUMIF('08 Allocation Data'!$A$5:$A$34,$A31,'08 Allocation Data'!$F$5:$F$34),IF('07 Support Drivers'!$D$17="Weighted floor space",SUMIF('08 Allocation Data'!$A$5:$A$34,$A31,'08 Allocation Data'!$I$5:$I$34),IF('07 Support Drivers'!$D$17="Cleaning hours",SUMIF('08 Allocation Data'!$A$5:$A$34,$A31,'08 Allocation Data'!$J$5:$J$34),IF('07 Support Drivers'!$D$17="Meals",SUMIF('08 Allocation Data'!$A$5:$A$34,$A31,'08 Allocation Data'!$K$5:$K$34),IF('07 Support Drivers'!$D$17="Direct costs",SUMIF('08 Allocation Data'!$A$5:$A$34,$A31,'08 Allocation Data'!$M$5:$M$34),0)))))))/'07 Support Drivers'!$G$17,0))</f>
        <v>0</v>
      </c>
      <c r="R31" s="48">
        <f t="shared" si="0"/>
        <v>0</v>
      </c>
      <c r="S31" s="48">
        <f>SUMIF('04 Service Costs'!$A$5:$A$31,A31,'04 Service Costs'!$M$5:$M$31)+SUMIF('06 Shared Cost Pools'!$D$21:$D$260,A31,'06 Shared Cost Pools'!$I$21:$I$260)</f>
        <v>0</v>
      </c>
      <c r="T31" s="48">
        <f>SUMIF('04 Service Costs'!$A$5:$A$31,A31,'04 Service Costs'!$N$5:$N$31)+SUMIF('06 Shared Cost Pools'!$D$21:$D$260,A31,'06 Shared Cost Pools'!$J$21:$J$260)</f>
        <v>0</v>
      </c>
      <c r="U31" s="48">
        <f>SUMIF('04 Service Costs'!$A$5:$A$31,A31,'04 Service Costs'!$O$5:$O$31)+SUMIF('06 Shared Cost Pools'!$D$21:$D$260,A31,'06 Shared Cost Pools'!$K$21:$K$260)</f>
        <v>0</v>
      </c>
      <c r="V31" s="48">
        <f t="shared" si="1"/>
        <v>0</v>
      </c>
    </row>
    <row r="32" spans="1:22">
      <c r="A32" s="3" t="s">
        <v>303</v>
      </c>
      <c r="B32" s="3" t="s">
        <v>304</v>
      </c>
      <c r="C32" s="55">
        <f>SUMIF('04 Service Costs'!$A$5:$A$31,A32,'04 Service Costs'!$L$5:$L$31)+SUMIF('05 Support &amp; Income'!$A$5:$A$41,A32,'05 Support &amp; Income'!$F$5:$F$41)</f>
        <v>0</v>
      </c>
      <c r="D32" s="55">
        <f>SUMIF('06 Shared Cost Pools'!$D$21:$D$260,A32,'06 Shared Cost Pools'!$F$21:$F$260)</f>
        <v>0</v>
      </c>
      <c r="E32" s="55">
        <f>IF('07 Support Drivers'!$D$5="Two-stage finance",SUMIF('05 Support &amp; Income'!$A$5:$A$41,E$4,'05 Support &amp; Income'!$F$5:$F$41)*IF(SUMIF('08 Allocation Data'!$A$5:$A$34,$A32,'08 Allocation Data'!$L$5:$L$34)&gt;0,SUMIF('08 Allocation Data'!$A$5:$A$34,$A32,'08 Allocation Data'!$L$5:$L$34),IFERROR((1-SUM('08 Allocation Data'!$L$5:$L$34))*C32/SUMIFS($C$5:$C$34,'08 Allocation Data'!$L$5:$L$34,0),0)),IFERROR(SUMIF('05 Support &amp; Income'!$A$5:$A$41,E$4,'05 Support &amp; Income'!$F$5:$F$41)*IF('07 Support Drivers'!$D$5="Headcount",SUMIF('08 Allocation Data'!$A$5:$A$34,$A32,'08 Allocation Data'!$D$5:$D$34),IF('07 Support Drivers'!$D$5="FTE",SUMIF('08 Allocation Data'!$A$5:$A$34,$A32,'08 Allocation Data'!$E$5:$E$34),IF('07 Support Drivers'!$D$5="Floor space",SUMIF('08 Allocation Data'!$A$5:$A$34,$A32,'08 Allocation Data'!$F$5:$F$34),IF('07 Support Drivers'!$D$5="Weighted floor space",SUMIF('08 Allocation Data'!$A$5:$A$34,$A32,'08 Allocation Data'!$I$5:$I$34),IF('07 Support Drivers'!$D$5="Cleaning hours",SUMIF('08 Allocation Data'!$A$5:$A$34,$A32,'08 Allocation Data'!$J$5:$J$34),IF('07 Support Drivers'!$D$5="Meals",SUMIF('08 Allocation Data'!$A$5:$A$34,$A32,'08 Allocation Data'!$K$5:$K$34),IF('07 Support Drivers'!$D$5="Direct costs",SUMIF('08 Allocation Data'!$A$5:$A$34,$A32,'08 Allocation Data'!$M$5:$M$34),0)))))))/'07 Support Drivers'!$G$5,0))</f>
        <v>0</v>
      </c>
      <c r="F32" s="55">
        <f>IF('07 Support Drivers'!$D$6="Two-stage finance",SUMIF('05 Support &amp; Income'!$A$5:$A$41,F$4,'05 Support &amp; Income'!$F$5:$F$41)*IF(SUMIF('08 Allocation Data'!$A$5:$A$34,$A32,'08 Allocation Data'!$L$5:$L$34)&gt;0,SUMIF('08 Allocation Data'!$A$5:$A$34,$A32,'08 Allocation Data'!$L$5:$L$34),IFERROR((1-SUM('08 Allocation Data'!$L$5:$L$34))*C32/SUMIFS($C$5:$C$34,'08 Allocation Data'!$L$5:$L$34,0),0)),IFERROR(SUMIF('05 Support &amp; Income'!$A$5:$A$41,F$4,'05 Support &amp; Income'!$F$5:$F$41)*IF('07 Support Drivers'!$D$6="Headcount",SUMIF('08 Allocation Data'!$A$5:$A$34,$A32,'08 Allocation Data'!$D$5:$D$34),IF('07 Support Drivers'!$D$6="FTE",SUMIF('08 Allocation Data'!$A$5:$A$34,$A32,'08 Allocation Data'!$E$5:$E$34),IF('07 Support Drivers'!$D$6="Floor space",SUMIF('08 Allocation Data'!$A$5:$A$34,$A32,'08 Allocation Data'!$F$5:$F$34),IF('07 Support Drivers'!$D$6="Weighted floor space",SUMIF('08 Allocation Data'!$A$5:$A$34,$A32,'08 Allocation Data'!$I$5:$I$34),IF('07 Support Drivers'!$D$6="Cleaning hours",SUMIF('08 Allocation Data'!$A$5:$A$34,$A32,'08 Allocation Data'!$J$5:$J$34),IF('07 Support Drivers'!$D$6="Meals",SUMIF('08 Allocation Data'!$A$5:$A$34,$A32,'08 Allocation Data'!$K$5:$K$34),IF('07 Support Drivers'!$D$6="Direct costs",SUMIF('08 Allocation Data'!$A$5:$A$34,$A32,'08 Allocation Data'!$M$5:$M$34),0)))))))/'07 Support Drivers'!$G$6,0))</f>
        <v>0</v>
      </c>
      <c r="G32" s="55">
        <f>IF('07 Support Drivers'!$D$7="Two-stage finance",SUMIF('05 Support &amp; Income'!$A$5:$A$41,G$4,'05 Support &amp; Income'!$F$5:$F$41)*IF(SUMIF('08 Allocation Data'!$A$5:$A$34,$A32,'08 Allocation Data'!$L$5:$L$34)&gt;0,SUMIF('08 Allocation Data'!$A$5:$A$34,$A32,'08 Allocation Data'!$L$5:$L$34),IFERROR((1-SUM('08 Allocation Data'!$L$5:$L$34))*C32/SUMIFS($C$5:$C$34,'08 Allocation Data'!$L$5:$L$34,0),0)),IFERROR(SUMIF('05 Support &amp; Income'!$A$5:$A$41,G$4,'05 Support &amp; Income'!$F$5:$F$41)*IF('07 Support Drivers'!$D$7="Headcount",SUMIF('08 Allocation Data'!$A$5:$A$34,$A32,'08 Allocation Data'!$D$5:$D$34),IF('07 Support Drivers'!$D$7="FTE",SUMIF('08 Allocation Data'!$A$5:$A$34,$A32,'08 Allocation Data'!$E$5:$E$34),IF('07 Support Drivers'!$D$7="Floor space",SUMIF('08 Allocation Data'!$A$5:$A$34,$A32,'08 Allocation Data'!$F$5:$F$34),IF('07 Support Drivers'!$D$7="Weighted floor space",SUMIF('08 Allocation Data'!$A$5:$A$34,$A32,'08 Allocation Data'!$I$5:$I$34),IF('07 Support Drivers'!$D$7="Cleaning hours",SUMIF('08 Allocation Data'!$A$5:$A$34,$A32,'08 Allocation Data'!$J$5:$J$34),IF('07 Support Drivers'!$D$7="Meals",SUMIF('08 Allocation Data'!$A$5:$A$34,$A32,'08 Allocation Data'!$K$5:$K$34),IF('07 Support Drivers'!$D$7="Direct costs",SUMIF('08 Allocation Data'!$A$5:$A$34,$A32,'08 Allocation Data'!$M$5:$M$34),0)))))))/'07 Support Drivers'!$G$7,0))</f>
        <v>0</v>
      </c>
      <c r="H32" s="55">
        <f>IF('07 Support Drivers'!$D$8="Two-stage finance",SUMIF('05 Support &amp; Income'!$A$5:$A$41,H$4,'05 Support &amp; Income'!$F$5:$F$41)*IF(SUMIF('08 Allocation Data'!$A$5:$A$34,$A32,'08 Allocation Data'!$L$5:$L$34)&gt;0,SUMIF('08 Allocation Data'!$A$5:$A$34,$A32,'08 Allocation Data'!$L$5:$L$34),IFERROR((1-SUM('08 Allocation Data'!$L$5:$L$34))*C32/SUMIFS($C$5:$C$34,'08 Allocation Data'!$L$5:$L$34,0),0)),IFERROR(SUMIF('05 Support &amp; Income'!$A$5:$A$41,H$4,'05 Support &amp; Income'!$F$5:$F$41)*IF('07 Support Drivers'!$D$8="Headcount",SUMIF('08 Allocation Data'!$A$5:$A$34,$A32,'08 Allocation Data'!$D$5:$D$34),IF('07 Support Drivers'!$D$8="FTE",SUMIF('08 Allocation Data'!$A$5:$A$34,$A32,'08 Allocation Data'!$E$5:$E$34),IF('07 Support Drivers'!$D$8="Floor space",SUMIF('08 Allocation Data'!$A$5:$A$34,$A32,'08 Allocation Data'!$F$5:$F$34),IF('07 Support Drivers'!$D$8="Weighted floor space",SUMIF('08 Allocation Data'!$A$5:$A$34,$A32,'08 Allocation Data'!$I$5:$I$34),IF('07 Support Drivers'!$D$8="Cleaning hours",SUMIF('08 Allocation Data'!$A$5:$A$34,$A32,'08 Allocation Data'!$J$5:$J$34),IF('07 Support Drivers'!$D$8="Meals",SUMIF('08 Allocation Data'!$A$5:$A$34,$A32,'08 Allocation Data'!$K$5:$K$34),IF('07 Support Drivers'!$D$8="Direct costs",SUMIF('08 Allocation Data'!$A$5:$A$34,$A32,'08 Allocation Data'!$M$5:$M$34),0)))))))/'07 Support Drivers'!$G$8,0))</f>
        <v>0</v>
      </c>
      <c r="I32" s="55">
        <f>IF('07 Support Drivers'!$D$9="Two-stage finance",SUMIF('05 Support &amp; Income'!$A$5:$A$41,I$4,'05 Support &amp; Income'!$F$5:$F$41)*IF(SUMIF('08 Allocation Data'!$A$5:$A$34,$A32,'08 Allocation Data'!$L$5:$L$34)&gt;0,SUMIF('08 Allocation Data'!$A$5:$A$34,$A32,'08 Allocation Data'!$L$5:$L$34),IFERROR((1-SUM('08 Allocation Data'!$L$5:$L$34))*C32/SUMIFS($C$5:$C$34,'08 Allocation Data'!$L$5:$L$34,0),0)),IFERROR(SUMIF('05 Support &amp; Income'!$A$5:$A$41,I$4,'05 Support &amp; Income'!$F$5:$F$41)*IF('07 Support Drivers'!$D$9="Headcount",SUMIF('08 Allocation Data'!$A$5:$A$34,$A32,'08 Allocation Data'!$D$5:$D$34),IF('07 Support Drivers'!$D$9="FTE",SUMIF('08 Allocation Data'!$A$5:$A$34,$A32,'08 Allocation Data'!$E$5:$E$34),IF('07 Support Drivers'!$D$9="Floor space",SUMIF('08 Allocation Data'!$A$5:$A$34,$A32,'08 Allocation Data'!$F$5:$F$34),IF('07 Support Drivers'!$D$9="Weighted floor space",SUMIF('08 Allocation Data'!$A$5:$A$34,$A32,'08 Allocation Data'!$I$5:$I$34),IF('07 Support Drivers'!$D$9="Cleaning hours",SUMIF('08 Allocation Data'!$A$5:$A$34,$A32,'08 Allocation Data'!$J$5:$J$34),IF('07 Support Drivers'!$D$9="Meals",SUMIF('08 Allocation Data'!$A$5:$A$34,$A32,'08 Allocation Data'!$K$5:$K$34),IF('07 Support Drivers'!$D$9="Direct costs",SUMIF('08 Allocation Data'!$A$5:$A$34,$A32,'08 Allocation Data'!$M$5:$M$34),0)))))))/'07 Support Drivers'!$G$9,0))</f>
        <v>0</v>
      </c>
      <c r="J32" s="55">
        <f>IF('07 Support Drivers'!$D$10="Two-stage finance",SUMIF('05 Support &amp; Income'!$A$5:$A$41,J$4,'05 Support &amp; Income'!$F$5:$F$41)*IF(SUMIF('08 Allocation Data'!$A$5:$A$34,$A32,'08 Allocation Data'!$L$5:$L$34)&gt;0,SUMIF('08 Allocation Data'!$A$5:$A$34,$A32,'08 Allocation Data'!$L$5:$L$34),IFERROR((1-SUM('08 Allocation Data'!$L$5:$L$34))*C32/SUMIFS($C$5:$C$34,'08 Allocation Data'!$L$5:$L$34,0),0)),IFERROR(SUMIF('05 Support &amp; Income'!$A$5:$A$41,J$4,'05 Support &amp; Income'!$F$5:$F$41)*IF('07 Support Drivers'!$D$10="Headcount",SUMIF('08 Allocation Data'!$A$5:$A$34,$A32,'08 Allocation Data'!$D$5:$D$34),IF('07 Support Drivers'!$D$10="FTE",SUMIF('08 Allocation Data'!$A$5:$A$34,$A32,'08 Allocation Data'!$E$5:$E$34),IF('07 Support Drivers'!$D$10="Floor space",SUMIF('08 Allocation Data'!$A$5:$A$34,$A32,'08 Allocation Data'!$F$5:$F$34),IF('07 Support Drivers'!$D$10="Weighted floor space",SUMIF('08 Allocation Data'!$A$5:$A$34,$A32,'08 Allocation Data'!$I$5:$I$34),IF('07 Support Drivers'!$D$10="Cleaning hours",SUMIF('08 Allocation Data'!$A$5:$A$34,$A32,'08 Allocation Data'!$J$5:$J$34),IF('07 Support Drivers'!$D$10="Meals",SUMIF('08 Allocation Data'!$A$5:$A$34,$A32,'08 Allocation Data'!$K$5:$K$34),IF('07 Support Drivers'!$D$10="Direct costs",SUMIF('08 Allocation Data'!$A$5:$A$34,$A32,'08 Allocation Data'!$M$5:$M$34),0)))))))/'07 Support Drivers'!$G$10,0))</f>
        <v>0</v>
      </c>
      <c r="K32" s="55">
        <f>IF('07 Support Drivers'!$D$11="Two-stage finance",SUMIF('05 Support &amp; Income'!$A$5:$A$41,K$4,'05 Support &amp; Income'!$F$5:$F$41)*IF(SUMIF('08 Allocation Data'!$A$5:$A$34,$A32,'08 Allocation Data'!$L$5:$L$34)&gt;0,SUMIF('08 Allocation Data'!$A$5:$A$34,$A32,'08 Allocation Data'!$L$5:$L$34),IFERROR((1-SUM('08 Allocation Data'!$L$5:$L$34))*C32/SUMIFS($C$5:$C$34,'08 Allocation Data'!$L$5:$L$34,0),0)),IFERROR(SUMIF('05 Support &amp; Income'!$A$5:$A$41,K$4,'05 Support &amp; Income'!$F$5:$F$41)*IF('07 Support Drivers'!$D$11="Headcount",SUMIF('08 Allocation Data'!$A$5:$A$34,$A32,'08 Allocation Data'!$D$5:$D$34),IF('07 Support Drivers'!$D$11="FTE",SUMIF('08 Allocation Data'!$A$5:$A$34,$A32,'08 Allocation Data'!$E$5:$E$34),IF('07 Support Drivers'!$D$11="Floor space",SUMIF('08 Allocation Data'!$A$5:$A$34,$A32,'08 Allocation Data'!$F$5:$F$34),IF('07 Support Drivers'!$D$11="Weighted floor space",SUMIF('08 Allocation Data'!$A$5:$A$34,$A32,'08 Allocation Data'!$I$5:$I$34),IF('07 Support Drivers'!$D$11="Cleaning hours",SUMIF('08 Allocation Data'!$A$5:$A$34,$A32,'08 Allocation Data'!$J$5:$J$34),IF('07 Support Drivers'!$D$11="Meals",SUMIF('08 Allocation Data'!$A$5:$A$34,$A32,'08 Allocation Data'!$K$5:$K$34),IF('07 Support Drivers'!$D$11="Direct costs",SUMIF('08 Allocation Data'!$A$5:$A$34,$A32,'08 Allocation Data'!$M$5:$M$34),0)))))))/'07 Support Drivers'!$G$11,0))</f>
        <v>0</v>
      </c>
      <c r="L32" s="55">
        <f>IF('07 Support Drivers'!$D$12="Two-stage finance",SUMIF('05 Support &amp; Income'!$A$5:$A$41,L$4,'05 Support &amp; Income'!$F$5:$F$41)*IF(SUMIF('08 Allocation Data'!$A$5:$A$34,$A32,'08 Allocation Data'!$L$5:$L$34)&gt;0,SUMIF('08 Allocation Data'!$A$5:$A$34,$A32,'08 Allocation Data'!$L$5:$L$34),IFERROR((1-SUM('08 Allocation Data'!$L$5:$L$34))*C32/SUMIFS($C$5:$C$34,'08 Allocation Data'!$L$5:$L$34,0),0)),IFERROR(SUMIF('05 Support &amp; Income'!$A$5:$A$41,L$4,'05 Support &amp; Income'!$F$5:$F$41)*IF('07 Support Drivers'!$D$12="Headcount",SUMIF('08 Allocation Data'!$A$5:$A$34,$A32,'08 Allocation Data'!$D$5:$D$34),IF('07 Support Drivers'!$D$12="FTE",SUMIF('08 Allocation Data'!$A$5:$A$34,$A32,'08 Allocation Data'!$E$5:$E$34),IF('07 Support Drivers'!$D$12="Floor space",SUMIF('08 Allocation Data'!$A$5:$A$34,$A32,'08 Allocation Data'!$F$5:$F$34),IF('07 Support Drivers'!$D$12="Weighted floor space",SUMIF('08 Allocation Data'!$A$5:$A$34,$A32,'08 Allocation Data'!$I$5:$I$34),IF('07 Support Drivers'!$D$12="Cleaning hours",SUMIF('08 Allocation Data'!$A$5:$A$34,$A32,'08 Allocation Data'!$J$5:$J$34),IF('07 Support Drivers'!$D$12="Meals",SUMIF('08 Allocation Data'!$A$5:$A$34,$A32,'08 Allocation Data'!$K$5:$K$34),IF('07 Support Drivers'!$D$12="Direct costs",SUMIF('08 Allocation Data'!$A$5:$A$34,$A32,'08 Allocation Data'!$M$5:$M$34),0)))))))/'07 Support Drivers'!$G$12,0))</f>
        <v>0</v>
      </c>
      <c r="M32" s="55">
        <f>IF('07 Support Drivers'!$D$13="Two-stage finance",SUMIF('05 Support &amp; Income'!$A$5:$A$41,M$4,'05 Support &amp; Income'!$F$5:$F$41)*IF(SUMIF('08 Allocation Data'!$A$5:$A$34,$A32,'08 Allocation Data'!$L$5:$L$34)&gt;0,SUMIF('08 Allocation Data'!$A$5:$A$34,$A32,'08 Allocation Data'!$L$5:$L$34),IFERROR((1-SUM('08 Allocation Data'!$L$5:$L$34))*C32/SUMIFS($C$5:$C$34,'08 Allocation Data'!$L$5:$L$34,0),0)),IFERROR(SUMIF('05 Support &amp; Income'!$A$5:$A$41,M$4,'05 Support &amp; Income'!$F$5:$F$41)*IF('07 Support Drivers'!$D$13="Headcount",SUMIF('08 Allocation Data'!$A$5:$A$34,$A32,'08 Allocation Data'!$D$5:$D$34),IF('07 Support Drivers'!$D$13="FTE",SUMIF('08 Allocation Data'!$A$5:$A$34,$A32,'08 Allocation Data'!$E$5:$E$34),IF('07 Support Drivers'!$D$13="Floor space",SUMIF('08 Allocation Data'!$A$5:$A$34,$A32,'08 Allocation Data'!$F$5:$F$34),IF('07 Support Drivers'!$D$13="Weighted floor space",SUMIF('08 Allocation Data'!$A$5:$A$34,$A32,'08 Allocation Data'!$I$5:$I$34),IF('07 Support Drivers'!$D$13="Cleaning hours",SUMIF('08 Allocation Data'!$A$5:$A$34,$A32,'08 Allocation Data'!$J$5:$J$34),IF('07 Support Drivers'!$D$13="Meals",SUMIF('08 Allocation Data'!$A$5:$A$34,$A32,'08 Allocation Data'!$K$5:$K$34),IF('07 Support Drivers'!$D$13="Direct costs",SUMIF('08 Allocation Data'!$A$5:$A$34,$A32,'08 Allocation Data'!$M$5:$M$34),0)))))))/'07 Support Drivers'!$G$13,0))</f>
        <v>0</v>
      </c>
      <c r="N32" s="55">
        <f>IF('07 Support Drivers'!$D$14="Two-stage finance",SUMIF('05 Support &amp; Income'!$A$5:$A$41,N$4,'05 Support &amp; Income'!$F$5:$F$41)*IF(SUMIF('08 Allocation Data'!$A$5:$A$34,$A32,'08 Allocation Data'!$L$5:$L$34)&gt;0,SUMIF('08 Allocation Data'!$A$5:$A$34,$A32,'08 Allocation Data'!$L$5:$L$34),IFERROR((1-SUM('08 Allocation Data'!$L$5:$L$34))*C32/SUMIFS($C$5:$C$34,'08 Allocation Data'!$L$5:$L$34,0),0)),IFERROR(SUMIF('05 Support &amp; Income'!$A$5:$A$41,N$4,'05 Support &amp; Income'!$F$5:$F$41)*IF('07 Support Drivers'!$D$14="Headcount",SUMIF('08 Allocation Data'!$A$5:$A$34,$A32,'08 Allocation Data'!$D$5:$D$34),IF('07 Support Drivers'!$D$14="FTE",SUMIF('08 Allocation Data'!$A$5:$A$34,$A32,'08 Allocation Data'!$E$5:$E$34),IF('07 Support Drivers'!$D$14="Floor space",SUMIF('08 Allocation Data'!$A$5:$A$34,$A32,'08 Allocation Data'!$F$5:$F$34),IF('07 Support Drivers'!$D$14="Weighted floor space",SUMIF('08 Allocation Data'!$A$5:$A$34,$A32,'08 Allocation Data'!$I$5:$I$34),IF('07 Support Drivers'!$D$14="Cleaning hours",SUMIF('08 Allocation Data'!$A$5:$A$34,$A32,'08 Allocation Data'!$J$5:$J$34),IF('07 Support Drivers'!$D$14="Meals",SUMIF('08 Allocation Data'!$A$5:$A$34,$A32,'08 Allocation Data'!$K$5:$K$34),IF('07 Support Drivers'!$D$14="Direct costs",SUMIF('08 Allocation Data'!$A$5:$A$34,$A32,'08 Allocation Data'!$M$5:$M$34),0)))))))/'07 Support Drivers'!$G$14,0))</f>
        <v>0</v>
      </c>
      <c r="O32" s="55">
        <f>IF('07 Support Drivers'!$D$15="Two-stage finance",SUMIF('05 Support &amp; Income'!$A$5:$A$41,O$4,'05 Support &amp; Income'!$F$5:$F$41)*IF(SUMIF('08 Allocation Data'!$A$5:$A$34,$A32,'08 Allocation Data'!$L$5:$L$34)&gt;0,SUMIF('08 Allocation Data'!$A$5:$A$34,$A32,'08 Allocation Data'!$L$5:$L$34),IFERROR((1-SUM('08 Allocation Data'!$L$5:$L$34))*C32/SUMIFS($C$5:$C$34,'08 Allocation Data'!$L$5:$L$34,0),0)),IFERROR(SUMIF('05 Support &amp; Income'!$A$5:$A$41,O$4,'05 Support &amp; Income'!$F$5:$F$41)*IF('07 Support Drivers'!$D$15="Headcount",SUMIF('08 Allocation Data'!$A$5:$A$34,$A32,'08 Allocation Data'!$D$5:$D$34),IF('07 Support Drivers'!$D$15="FTE",SUMIF('08 Allocation Data'!$A$5:$A$34,$A32,'08 Allocation Data'!$E$5:$E$34),IF('07 Support Drivers'!$D$15="Floor space",SUMIF('08 Allocation Data'!$A$5:$A$34,$A32,'08 Allocation Data'!$F$5:$F$34),IF('07 Support Drivers'!$D$15="Weighted floor space",SUMIF('08 Allocation Data'!$A$5:$A$34,$A32,'08 Allocation Data'!$I$5:$I$34),IF('07 Support Drivers'!$D$15="Cleaning hours",SUMIF('08 Allocation Data'!$A$5:$A$34,$A32,'08 Allocation Data'!$J$5:$J$34),IF('07 Support Drivers'!$D$15="Meals",SUMIF('08 Allocation Data'!$A$5:$A$34,$A32,'08 Allocation Data'!$K$5:$K$34),IF('07 Support Drivers'!$D$15="Direct costs",SUMIF('08 Allocation Data'!$A$5:$A$34,$A32,'08 Allocation Data'!$M$5:$M$34),0)))))))/'07 Support Drivers'!$G$15,0))</f>
        <v>0</v>
      </c>
      <c r="P32" s="55">
        <f>IF('07 Support Drivers'!$D$16="Two-stage finance",SUMIF('05 Support &amp; Income'!$A$5:$A$41,P$4,'05 Support &amp; Income'!$F$5:$F$41)*IF(SUMIF('08 Allocation Data'!$A$5:$A$34,$A32,'08 Allocation Data'!$L$5:$L$34)&gt;0,SUMIF('08 Allocation Data'!$A$5:$A$34,$A32,'08 Allocation Data'!$L$5:$L$34),IFERROR((1-SUM('08 Allocation Data'!$L$5:$L$34))*C32/SUMIFS($C$5:$C$34,'08 Allocation Data'!$L$5:$L$34,0),0)),IFERROR(SUMIF('05 Support &amp; Income'!$A$5:$A$41,P$4,'05 Support &amp; Income'!$F$5:$F$41)*IF('07 Support Drivers'!$D$16="Headcount",SUMIF('08 Allocation Data'!$A$5:$A$34,$A32,'08 Allocation Data'!$D$5:$D$34),IF('07 Support Drivers'!$D$16="FTE",SUMIF('08 Allocation Data'!$A$5:$A$34,$A32,'08 Allocation Data'!$E$5:$E$34),IF('07 Support Drivers'!$D$16="Floor space",SUMIF('08 Allocation Data'!$A$5:$A$34,$A32,'08 Allocation Data'!$F$5:$F$34),IF('07 Support Drivers'!$D$16="Weighted floor space",SUMIF('08 Allocation Data'!$A$5:$A$34,$A32,'08 Allocation Data'!$I$5:$I$34),IF('07 Support Drivers'!$D$16="Cleaning hours",SUMIF('08 Allocation Data'!$A$5:$A$34,$A32,'08 Allocation Data'!$J$5:$J$34),IF('07 Support Drivers'!$D$16="Meals",SUMIF('08 Allocation Data'!$A$5:$A$34,$A32,'08 Allocation Data'!$K$5:$K$34),IF('07 Support Drivers'!$D$16="Direct costs",SUMIF('08 Allocation Data'!$A$5:$A$34,$A32,'08 Allocation Data'!$M$5:$M$34),0)))))))/'07 Support Drivers'!$G$16,0))</f>
        <v>0</v>
      </c>
      <c r="Q32" s="55">
        <f>IF('07 Support Drivers'!$D$17="Two-stage finance",SUMIF('05 Support &amp; Income'!$A$5:$A$41,Q$4,'05 Support &amp; Income'!$F$5:$F$41)*IF(SUMIF('08 Allocation Data'!$A$5:$A$34,$A32,'08 Allocation Data'!$L$5:$L$34)&gt;0,SUMIF('08 Allocation Data'!$A$5:$A$34,$A32,'08 Allocation Data'!$L$5:$L$34),IFERROR((1-SUM('08 Allocation Data'!$L$5:$L$34))*C32/SUMIFS($C$5:$C$34,'08 Allocation Data'!$L$5:$L$34,0),0)),IFERROR(SUMIF('05 Support &amp; Income'!$A$5:$A$41,Q$4,'05 Support &amp; Income'!$F$5:$F$41)*IF('07 Support Drivers'!$D$17="Headcount",SUMIF('08 Allocation Data'!$A$5:$A$34,$A32,'08 Allocation Data'!$D$5:$D$34),IF('07 Support Drivers'!$D$17="FTE",SUMIF('08 Allocation Data'!$A$5:$A$34,$A32,'08 Allocation Data'!$E$5:$E$34),IF('07 Support Drivers'!$D$17="Floor space",SUMIF('08 Allocation Data'!$A$5:$A$34,$A32,'08 Allocation Data'!$F$5:$F$34),IF('07 Support Drivers'!$D$17="Weighted floor space",SUMIF('08 Allocation Data'!$A$5:$A$34,$A32,'08 Allocation Data'!$I$5:$I$34),IF('07 Support Drivers'!$D$17="Cleaning hours",SUMIF('08 Allocation Data'!$A$5:$A$34,$A32,'08 Allocation Data'!$J$5:$J$34),IF('07 Support Drivers'!$D$17="Meals",SUMIF('08 Allocation Data'!$A$5:$A$34,$A32,'08 Allocation Data'!$K$5:$K$34),IF('07 Support Drivers'!$D$17="Direct costs",SUMIF('08 Allocation Data'!$A$5:$A$34,$A32,'08 Allocation Data'!$M$5:$M$34),0)))))))/'07 Support Drivers'!$G$17,0))</f>
        <v>0</v>
      </c>
      <c r="R32" s="48">
        <f t="shared" si="0"/>
        <v>0</v>
      </c>
      <c r="S32" s="48">
        <f>SUMIF('04 Service Costs'!$A$5:$A$31,A32,'04 Service Costs'!$M$5:$M$31)+SUMIF('06 Shared Cost Pools'!$D$21:$D$260,A32,'06 Shared Cost Pools'!$I$21:$I$260)</f>
        <v>0</v>
      </c>
      <c r="T32" s="48">
        <f>SUMIF('04 Service Costs'!$A$5:$A$31,A32,'04 Service Costs'!$N$5:$N$31)+SUMIF('06 Shared Cost Pools'!$D$21:$D$260,A32,'06 Shared Cost Pools'!$J$21:$J$260)</f>
        <v>0</v>
      </c>
      <c r="U32" s="48">
        <f>SUMIF('04 Service Costs'!$A$5:$A$31,A32,'04 Service Costs'!$O$5:$O$31)+SUMIF('06 Shared Cost Pools'!$D$21:$D$260,A32,'06 Shared Cost Pools'!$K$21:$K$260)</f>
        <v>0</v>
      </c>
      <c r="V32" s="48">
        <f t="shared" si="1"/>
        <v>0</v>
      </c>
    </row>
    <row r="33" spans="1:22">
      <c r="A33" s="3" t="s">
        <v>309</v>
      </c>
      <c r="B33" s="3" t="s">
        <v>310</v>
      </c>
      <c r="C33" s="55">
        <f>SUMIF('04 Service Costs'!$A$5:$A$31,A33,'04 Service Costs'!$L$5:$L$31)+SUMIF('05 Support &amp; Income'!$A$5:$A$41,A33,'05 Support &amp; Income'!$F$5:$F$41)</f>
        <v>0</v>
      </c>
      <c r="D33" s="55">
        <f>SUMIF('06 Shared Cost Pools'!$D$21:$D$260,A33,'06 Shared Cost Pools'!$F$21:$F$260)</f>
        <v>0</v>
      </c>
      <c r="E33" s="55">
        <f>IF('07 Support Drivers'!$D$5="Two-stage finance",SUMIF('05 Support &amp; Income'!$A$5:$A$41,E$4,'05 Support &amp; Income'!$F$5:$F$41)*IF(SUMIF('08 Allocation Data'!$A$5:$A$34,$A33,'08 Allocation Data'!$L$5:$L$34)&gt;0,SUMIF('08 Allocation Data'!$A$5:$A$34,$A33,'08 Allocation Data'!$L$5:$L$34),IFERROR((1-SUM('08 Allocation Data'!$L$5:$L$34))*C33/SUMIFS($C$5:$C$34,'08 Allocation Data'!$L$5:$L$34,0),0)),IFERROR(SUMIF('05 Support &amp; Income'!$A$5:$A$41,E$4,'05 Support &amp; Income'!$F$5:$F$41)*IF('07 Support Drivers'!$D$5="Headcount",SUMIF('08 Allocation Data'!$A$5:$A$34,$A33,'08 Allocation Data'!$D$5:$D$34),IF('07 Support Drivers'!$D$5="FTE",SUMIF('08 Allocation Data'!$A$5:$A$34,$A33,'08 Allocation Data'!$E$5:$E$34),IF('07 Support Drivers'!$D$5="Floor space",SUMIF('08 Allocation Data'!$A$5:$A$34,$A33,'08 Allocation Data'!$F$5:$F$34),IF('07 Support Drivers'!$D$5="Weighted floor space",SUMIF('08 Allocation Data'!$A$5:$A$34,$A33,'08 Allocation Data'!$I$5:$I$34),IF('07 Support Drivers'!$D$5="Cleaning hours",SUMIF('08 Allocation Data'!$A$5:$A$34,$A33,'08 Allocation Data'!$J$5:$J$34),IF('07 Support Drivers'!$D$5="Meals",SUMIF('08 Allocation Data'!$A$5:$A$34,$A33,'08 Allocation Data'!$K$5:$K$34),IF('07 Support Drivers'!$D$5="Direct costs",SUMIF('08 Allocation Data'!$A$5:$A$34,$A33,'08 Allocation Data'!$M$5:$M$34),0)))))))/'07 Support Drivers'!$G$5,0))</f>
        <v>0</v>
      </c>
      <c r="F33" s="55">
        <f>IF('07 Support Drivers'!$D$6="Two-stage finance",SUMIF('05 Support &amp; Income'!$A$5:$A$41,F$4,'05 Support &amp; Income'!$F$5:$F$41)*IF(SUMIF('08 Allocation Data'!$A$5:$A$34,$A33,'08 Allocation Data'!$L$5:$L$34)&gt;0,SUMIF('08 Allocation Data'!$A$5:$A$34,$A33,'08 Allocation Data'!$L$5:$L$34),IFERROR((1-SUM('08 Allocation Data'!$L$5:$L$34))*C33/SUMIFS($C$5:$C$34,'08 Allocation Data'!$L$5:$L$34,0),0)),IFERROR(SUMIF('05 Support &amp; Income'!$A$5:$A$41,F$4,'05 Support &amp; Income'!$F$5:$F$41)*IF('07 Support Drivers'!$D$6="Headcount",SUMIF('08 Allocation Data'!$A$5:$A$34,$A33,'08 Allocation Data'!$D$5:$D$34),IF('07 Support Drivers'!$D$6="FTE",SUMIF('08 Allocation Data'!$A$5:$A$34,$A33,'08 Allocation Data'!$E$5:$E$34),IF('07 Support Drivers'!$D$6="Floor space",SUMIF('08 Allocation Data'!$A$5:$A$34,$A33,'08 Allocation Data'!$F$5:$F$34),IF('07 Support Drivers'!$D$6="Weighted floor space",SUMIF('08 Allocation Data'!$A$5:$A$34,$A33,'08 Allocation Data'!$I$5:$I$34),IF('07 Support Drivers'!$D$6="Cleaning hours",SUMIF('08 Allocation Data'!$A$5:$A$34,$A33,'08 Allocation Data'!$J$5:$J$34),IF('07 Support Drivers'!$D$6="Meals",SUMIF('08 Allocation Data'!$A$5:$A$34,$A33,'08 Allocation Data'!$K$5:$K$34),IF('07 Support Drivers'!$D$6="Direct costs",SUMIF('08 Allocation Data'!$A$5:$A$34,$A33,'08 Allocation Data'!$M$5:$M$34),0)))))))/'07 Support Drivers'!$G$6,0))</f>
        <v>0</v>
      </c>
      <c r="G33" s="55">
        <f>IF('07 Support Drivers'!$D$7="Two-stage finance",SUMIF('05 Support &amp; Income'!$A$5:$A$41,G$4,'05 Support &amp; Income'!$F$5:$F$41)*IF(SUMIF('08 Allocation Data'!$A$5:$A$34,$A33,'08 Allocation Data'!$L$5:$L$34)&gt;0,SUMIF('08 Allocation Data'!$A$5:$A$34,$A33,'08 Allocation Data'!$L$5:$L$34),IFERROR((1-SUM('08 Allocation Data'!$L$5:$L$34))*C33/SUMIFS($C$5:$C$34,'08 Allocation Data'!$L$5:$L$34,0),0)),IFERROR(SUMIF('05 Support &amp; Income'!$A$5:$A$41,G$4,'05 Support &amp; Income'!$F$5:$F$41)*IF('07 Support Drivers'!$D$7="Headcount",SUMIF('08 Allocation Data'!$A$5:$A$34,$A33,'08 Allocation Data'!$D$5:$D$34),IF('07 Support Drivers'!$D$7="FTE",SUMIF('08 Allocation Data'!$A$5:$A$34,$A33,'08 Allocation Data'!$E$5:$E$34),IF('07 Support Drivers'!$D$7="Floor space",SUMIF('08 Allocation Data'!$A$5:$A$34,$A33,'08 Allocation Data'!$F$5:$F$34),IF('07 Support Drivers'!$D$7="Weighted floor space",SUMIF('08 Allocation Data'!$A$5:$A$34,$A33,'08 Allocation Data'!$I$5:$I$34),IF('07 Support Drivers'!$D$7="Cleaning hours",SUMIF('08 Allocation Data'!$A$5:$A$34,$A33,'08 Allocation Data'!$J$5:$J$34),IF('07 Support Drivers'!$D$7="Meals",SUMIF('08 Allocation Data'!$A$5:$A$34,$A33,'08 Allocation Data'!$K$5:$K$34),IF('07 Support Drivers'!$D$7="Direct costs",SUMIF('08 Allocation Data'!$A$5:$A$34,$A33,'08 Allocation Data'!$M$5:$M$34),0)))))))/'07 Support Drivers'!$G$7,0))</f>
        <v>0</v>
      </c>
      <c r="H33" s="55">
        <f>IF('07 Support Drivers'!$D$8="Two-stage finance",SUMIF('05 Support &amp; Income'!$A$5:$A$41,H$4,'05 Support &amp; Income'!$F$5:$F$41)*IF(SUMIF('08 Allocation Data'!$A$5:$A$34,$A33,'08 Allocation Data'!$L$5:$L$34)&gt;0,SUMIF('08 Allocation Data'!$A$5:$A$34,$A33,'08 Allocation Data'!$L$5:$L$34),IFERROR((1-SUM('08 Allocation Data'!$L$5:$L$34))*C33/SUMIFS($C$5:$C$34,'08 Allocation Data'!$L$5:$L$34,0),0)),IFERROR(SUMIF('05 Support &amp; Income'!$A$5:$A$41,H$4,'05 Support &amp; Income'!$F$5:$F$41)*IF('07 Support Drivers'!$D$8="Headcount",SUMIF('08 Allocation Data'!$A$5:$A$34,$A33,'08 Allocation Data'!$D$5:$D$34),IF('07 Support Drivers'!$D$8="FTE",SUMIF('08 Allocation Data'!$A$5:$A$34,$A33,'08 Allocation Data'!$E$5:$E$34),IF('07 Support Drivers'!$D$8="Floor space",SUMIF('08 Allocation Data'!$A$5:$A$34,$A33,'08 Allocation Data'!$F$5:$F$34),IF('07 Support Drivers'!$D$8="Weighted floor space",SUMIF('08 Allocation Data'!$A$5:$A$34,$A33,'08 Allocation Data'!$I$5:$I$34),IF('07 Support Drivers'!$D$8="Cleaning hours",SUMIF('08 Allocation Data'!$A$5:$A$34,$A33,'08 Allocation Data'!$J$5:$J$34),IF('07 Support Drivers'!$D$8="Meals",SUMIF('08 Allocation Data'!$A$5:$A$34,$A33,'08 Allocation Data'!$K$5:$K$34),IF('07 Support Drivers'!$D$8="Direct costs",SUMIF('08 Allocation Data'!$A$5:$A$34,$A33,'08 Allocation Data'!$M$5:$M$34),0)))))))/'07 Support Drivers'!$G$8,0))</f>
        <v>0</v>
      </c>
      <c r="I33" s="55">
        <f>IF('07 Support Drivers'!$D$9="Two-stage finance",SUMIF('05 Support &amp; Income'!$A$5:$A$41,I$4,'05 Support &amp; Income'!$F$5:$F$41)*IF(SUMIF('08 Allocation Data'!$A$5:$A$34,$A33,'08 Allocation Data'!$L$5:$L$34)&gt;0,SUMIF('08 Allocation Data'!$A$5:$A$34,$A33,'08 Allocation Data'!$L$5:$L$34),IFERROR((1-SUM('08 Allocation Data'!$L$5:$L$34))*C33/SUMIFS($C$5:$C$34,'08 Allocation Data'!$L$5:$L$34,0),0)),IFERROR(SUMIF('05 Support &amp; Income'!$A$5:$A$41,I$4,'05 Support &amp; Income'!$F$5:$F$41)*IF('07 Support Drivers'!$D$9="Headcount",SUMIF('08 Allocation Data'!$A$5:$A$34,$A33,'08 Allocation Data'!$D$5:$D$34),IF('07 Support Drivers'!$D$9="FTE",SUMIF('08 Allocation Data'!$A$5:$A$34,$A33,'08 Allocation Data'!$E$5:$E$34),IF('07 Support Drivers'!$D$9="Floor space",SUMIF('08 Allocation Data'!$A$5:$A$34,$A33,'08 Allocation Data'!$F$5:$F$34),IF('07 Support Drivers'!$D$9="Weighted floor space",SUMIF('08 Allocation Data'!$A$5:$A$34,$A33,'08 Allocation Data'!$I$5:$I$34),IF('07 Support Drivers'!$D$9="Cleaning hours",SUMIF('08 Allocation Data'!$A$5:$A$34,$A33,'08 Allocation Data'!$J$5:$J$34),IF('07 Support Drivers'!$D$9="Meals",SUMIF('08 Allocation Data'!$A$5:$A$34,$A33,'08 Allocation Data'!$K$5:$K$34),IF('07 Support Drivers'!$D$9="Direct costs",SUMIF('08 Allocation Data'!$A$5:$A$34,$A33,'08 Allocation Data'!$M$5:$M$34),0)))))))/'07 Support Drivers'!$G$9,0))</f>
        <v>0</v>
      </c>
      <c r="J33" s="55">
        <f>IF('07 Support Drivers'!$D$10="Two-stage finance",SUMIF('05 Support &amp; Income'!$A$5:$A$41,J$4,'05 Support &amp; Income'!$F$5:$F$41)*IF(SUMIF('08 Allocation Data'!$A$5:$A$34,$A33,'08 Allocation Data'!$L$5:$L$34)&gt;0,SUMIF('08 Allocation Data'!$A$5:$A$34,$A33,'08 Allocation Data'!$L$5:$L$34),IFERROR((1-SUM('08 Allocation Data'!$L$5:$L$34))*C33/SUMIFS($C$5:$C$34,'08 Allocation Data'!$L$5:$L$34,0),0)),IFERROR(SUMIF('05 Support &amp; Income'!$A$5:$A$41,J$4,'05 Support &amp; Income'!$F$5:$F$41)*IF('07 Support Drivers'!$D$10="Headcount",SUMIF('08 Allocation Data'!$A$5:$A$34,$A33,'08 Allocation Data'!$D$5:$D$34),IF('07 Support Drivers'!$D$10="FTE",SUMIF('08 Allocation Data'!$A$5:$A$34,$A33,'08 Allocation Data'!$E$5:$E$34),IF('07 Support Drivers'!$D$10="Floor space",SUMIF('08 Allocation Data'!$A$5:$A$34,$A33,'08 Allocation Data'!$F$5:$F$34),IF('07 Support Drivers'!$D$10="Weighted floor space",SUMIF('08 Allocation Data'!$A$5:$A$34,$A33,'08 Allocation Data'!$I$5:$I$34),IF('07 Support Drivers'!$D$10="Cleaning hours",SUMIF('08 Allocation Data'!$A$5:$A$34,$A33,'08 Allocation Data'!$J$5:$J$34),IF('07 Support Drivers'!$D$10="Meals",SUMIF('08 Allocation Data'!$A$5:$A$34,$A33,'08 Allocation Data'!$K$5:$K$34),IF('07 Support Drivers'!$D$10="Direct costs",SUMIF('08 Allocation Data'!$A$5:$A$34,$A33,'08 Allocation Data'!$M$5:$M$34),0)))))))/'07 Support Drivers'!$G$10,0))</f>
        <v>0</v>
      </c>
      <c r="K33" s="55">
        <f>IF('07 Support Drivers'!$D$11="Two-stage finance",SUMIF('05 Support &amp; Income'!$A$5:$A$41,K$4,'05 Support &amp; Income'!$F$5:$F$41)*IF(SUMIF('08 Allocation Data'!$A$5:$A$34,$A33,'08 Allocation Data'!$L$5:$L$34)&gt;0,SUMIF('08 Allocation Data'!$A$5:$A$34,$A33,'08 Allocation Data'!$L$5:$L$34),IFERROR((1-SUM('08 Allocation Data'!$L$5:$L$34))*C33/SUMIFS($C$5:$C$34,'08 Allocation Data'!$L$5:$L$34,0),0)),IFERROR(SUMIF('05 Support &amp; Income'!$A$5:$A$41,K$4,'05 Support &amp; Income'!$F$5:$F$41)*IF('07 Support Drivers'!$D$11="Headcount",SUMIF('08 Allocation Data'!$A$5:$A$34,$A33,'08 Allocation Data'!$D$5:$D$34),IF('07 Support Drivers'!$D$11="FTE",SUMIF('08 Allocation Data'!$A$5:$A$34,$A33,'08 Allocation Data'!$E$5:$E$34),IF('07 Support Drivers'!$D$11="Floor space",SUMIF('08 Allocation Data'!$A$5:$A$34,$A33,'08 Allocation Data'!$F$5:$F$34),IF('07 Support Drivers'!$D$11="Weighted floor space",SUMIF('08 Allocation Data'!$A$5:$A$34,$A33,'08 Allocation Data'!$I$5:$I$34),IF('07 Support Drivers'!$D$11="Cleaning hours",SUMIF('08 Allocation Data'!$A$5:$A$34,$A33,'08 Allocation Data'!$J$5:$J$34),IF('07 Support Drivers'!$D$11="Meals",SUMIF('08 Allocation Data'!$A$5:$A$34,$A33,'08 Allocation Data'!$K$5:$K$34),IF('07 Support Drivers'!$D$11="Direct costs",SUMIF('08 Allocation Data'!$A$5:$A$34,$A33,'08 Allocation Data'!$M$5:$M$34),0)))))))/'07 Support Drivers'!$G$11,0))</f>
        <v>0</v>
      </c>
      <c r="L33" s="55">
        <f>IF('07 Support Drivers'!$D$12="Two-stage finance",SUMIF('05 Support &amp; Income'!$A$5:$A$41,L$4,'05 Support &amp; Income'!$F$5:$F$41)*IF(SUMIF('08 Allocation Data'!$A$5:$A$34,$A33,'08 Allocation Data'!$L$5:$L$34)&gt;0,SUMIF('08 Allocation Data'!$A$5:$A$34,$A33,'08 Allocation Data'!$L$5:$L$34),IFERROR((1-SUM('08 Allocation Data'!$L$5:$L$34))*C33/SUMIFS($C$5:$C$34,'08 Allocation Data'!$L$5:$L$34,0),0)),IFERROR(SUMIF('05 Support &amp; Income'!$A$5:$A$41,L$4,'05 Support &amp; Income'!$F$5:$F$41)*IF('07 Support Drivers'!$D$12="Headcount",SUMIF('08 Allocation Data'!$A$5:$A$34,$A33,'08 Allocation Data'!$D$5:$D$34),IF('07 Support Drivers'!$D$12="FTE",SUMIF('08 Allocation Data'!$A$5:$A$34,$A33,'08 Allocation Data'!$E$5:$E$34),IF('07 Support Drivers'!$D$12="Floor space",SUMIF('08 Allocation Data'!$A$5:$A$34,$A33,'08 Allocation Data'!$F$5:$F$34),IF('07 Support Drivers'!$D$12="Weighted floor space",SUMIF('08 Allocation Data'!$A$5:$A$34,$A33,'08 Allocation Data'!$I$5:$I$34),IF('07 Support Drivers'!$D$12="Cleaning hours",SUMIF('08 Allocation Data'!$A$5:$A$34,$A33,'08 Allocation Data'!$J$5:$J$34),IF('07 Support Drivers'!$D$12="Meals",SUMIF('08 Allocation Data'!$A$5:$A$34,$A33,'08 Allocation Data'!$K$5:$K$34),IF('07 Support Drivers'!$D$12="Direct costs",SUMIF('08 Allocation Data'!$A$5:$A$34,$A33,'08 Allocation Data'!$M$5:$M$34),0)))))))/'07 Support Drivers'!$G$12,0))</f>
        <v>0</v>
      </c>
      <c r="M33" s="55">
        <f>IF('07 Support Drivers'!$D$13="Two-stage finance",SUMIF('05 Support &amp; Income'!$A$5:$A$41,M$4,'05 Support &amp; Income'!$F$5:$F$41)*IF(SUMIF('08 Allocation Data'!$A$5:$A$34,$A33,'08 Allocation Data'!$L$5:$L$34)&gt;0,SUMIF('08 Allocation Data'!$A$5:$A$34,$A33,'08 Allocation Data'!$L$5:$L$34),IFERROR((1-SUM('08 Allocation Data'!$L$5:$L$34))*C33/SUMIFS($C$5:$C$34,'08 Allocation Data'!$L$5:$L$34,0),0)),IFERROR(SUMIF('05 Support &amp; Income'!$A$5:$A$41,M$4,'05 Support &amp; Income'!$F$5:$F$41)*IF('07 Support Drivers'!$D$13="Headcount",SUMIF('08 Allocation Data'!$A$5:$A$34,$A33,'08 Allocation Data'!$D$5:$D$34),IF('07 Support Drivers'!$D$13="FTE",SUMIF('08 Allocation Data'!$A$5:$A$34,$A33,'08 Allocation Data'!$E$5:$E$34),IF('07 Support Drivers'!$D$13="Floor space",SUMIF('08 Allocation Data'!$A$5:$A$34,$A33,'08 Allocation Data'!$F$5:$F$34),IF('07 Support Drivers'!$D$13="Weighted floor space",SUMIF('08 Allocation Data'!$A$5:$A$34,$A33,'08 Allocation Data'!$I$5:$I$34),IF('07 Support Drivers'!$D$13="Cleaning hours",SUMIF('08 Allocation Data'!$A$5:$A$34,$A33,'08 Allocation Data'!$J$5:$J$34),IF('07 Support Drivers'!$D$13="Meals",SUMIF('08 Allocation Data'!$A$5:$A$34,$A33,'08 Allocation Data'!$K$5:$K$34),IF('07 Support Drivers'!$D$13="Direct costs",SUMIF('08 Allocation Data'!$A$5:$A$34,$A33,'08 Allocation Data'!$M$5:$M$34),0)))))))/'07 Support Drivers'!$G$13,0))</f>
        <v>0</v>
      </c>
      <c r="N33" s="55">
        <f>IF('07 Support Drivers'!$D$14="Two-stage finance",SUMIF('05 Support &amp; Income'!$A$5:$A$41,N$4,'05 Support &amp; Income'!$F$5:$F$41)*IF(SUMIF('08 Allocation Data'!$A$5:$A$34,$A33,'08 Allocation Data'!$L$5:$L$34)&gt;0,SUMIF('08 Allocation Data'!$A$5:$A$34,$A33,'08 Allocation Data'!$L$5:$L$34),IFERROR((1-SUM('08 Allocation Data'!$L$5:$L$34))*C33/SUMIFS($C$5:$C$34,'08 Allocation Data'!$L$5:$L$34,0),0)),IFERROR(SUMIF('05 Support &amp; Income'!$A$5:$A$41,N$4,'05 Support &amp; Income'!$F$5:$F$41)*IF('07 Support Drivers'!$D$14="Headcount",SUMIF('08 Allocation Data'!$A$5:$A$34,$A33,'08 Allocation Data'!$D$5:$D$34),IF('07 Support Drivers'!$D$14="FTE",SUMIF('08 Allocation Data'!$A$5:$A$34,$A33,'08 Allocation Data'!$E$5:$E$34),IF('07 Support Drivers'!$D$14="Floor space",SUMIF('08 Allocation Data'!$A$5:$A$34,$A33,'08 Allocation Data'!$F$5:$F$34),IF('07 Support Drivers'!$D$14="Weighted floor space",SUMIF('08 Allocation Data'!$A$5:$A$34,$A33,'08 Allocation Data'!$I$5:$I$34),IF('07 Support Drivers'!$D$14="Cleaning hours",SUMIF('08 Allocation Data'!$A$5:$A$34,$A33,'08 Allocation Data'!$J$5:$J$34),IF('07 Support Drivers'!$D$14="Meals",SUMIF('08 Allocation Data'!$A$5:$A$34,$A33,'08 Allocation Data'!$K$5:$K$34),IF('07 Support Drivers'!$D$14="Direct costs",SUMIF('08 Allocation Data'!$A$5:$A$34,$A33,'08 Allocation Data'!$M$5:$M$34),0)))))))/'07 Support Drivers'!$G$14,0))</f>
        <v>0</v>
      </c>
      <c r="O33" s="55">
        <f>IF('07 Support Drivers'!$D$15="Two-stage finance",SUMIF('05 Support &amp; Income'!$A$5:$A$41,O$4,'05 Support &amp; Income'!$F$5:$F$41)*IF(SUMIF('08 Allocation Data'!$A$5:$A$34,$A33,'08 Allocation Data'!$L$5:$L$34)&gt;0,SUMIF('08 Allocation Data'!$A$5:$A$34,$A33,'08 Allocation Data'!$L$5:$L$34),IFERROR((1-SUM('08 Allocation Data'!$L$5:$L$34))*C33/SUMIFS($C$5:$C$34,'08 Allocation Data'!$L$5:$L$34,0),0)),IFERROR(SUMIF('05 Support &amp; Income'!$A$5:$A$41,O$4,'05 Support &amp; Income'!$F$5:$F$41)*IF('07 Support Drivers'!$D$15="Headcount",SUMIF('08 Allocation Data'!$A$5:$A$34,$A33,'08 Allocation Data'!$D$5:$D$34),IF('07 Support Drivers'!$D$15="FTE",SUMIF('08 Allocation Data'!$A$5:$A$34,$A33,'08 Allocation Data'!$E$5:$E$34),IF('07 Support Drivers'!$D$15="Floor space",SUMIF('08 Allocation Data'!$A$5:$A$34,$A33,'08 Allocation Data'!$F$5:$F$34),IF('07 Support Drivers'!$D$15="Weighted floor space",SUMIF('08 Allocation Data'!$A$5:$A$34,$A33,'08 Allocation Data'!$I$5:$I$34),IF('07 Support Drivers'!$D$15="Cleaning hours",SUMIF('08 Allocation Data'!$A$5:$A$34,$A33,'08 Allocation Data'!$J$5:$J$34),IF('07 Support Drivers'!$D$15="Meals",SUMIF('08 Allocation Data'!$A$5:$A$34,$A33,'08 Allocation Data'!$K$5:$K$34),IF('07 Support Drivers'!$D$15="Direct costs",SUMIF('08 Allocation Data'!$A$5:$A$34,$A33,'08 Allocation Data'!$M$5:$M$34),0)))))))/'07 Support Drivers'!$G$15,0))</f>
        <v>0</v>
      </c>
      <c r="P33" s="55">
        <f>IF('07 Support Drivers'!$D$16="Two-stage finance",SUMIF('05 Support &amp; Income'!$A$5:$A$41,P$4,'05 Support &amp; Income'!$F$5:$F$41)*IF(SUMIF('08 Allocation Data'!$A$5:$A$34,$A33,'08 Allocation Data'!$L$5:$L$34)&gt;0,SUMIF('08 Allocation Data'!$A$5:$A$34,$A33,'08 Allocation Data'!$L$5:$L$34),IFERROR((1-SUM('08 Allocation Data'!$L$5:$L$34))*C33/SUMIFS($C$5:$C$34,'08 Allocation Data'!$L$5:$L$34,0),0)),IFERROR(SUMIF('05 Support &amp; Income'!$A$5:$A$41,P$4,'05 Support &amp; Income'!$F$5:$F$41)*IF('07 Support Drivers'!$D$16="Headcount",SUMIF('08 Allocation Data'!$A$5:$A$34,$A33,'08 Allocation Data'!$D$5:$D$34),IF('07 Support Drivers'!$D$16="FTE",SUMIF('08 Allocation Data'!$A$5:$A$34,$A33,'08 Allocation Data'!$E$5:$E$34),IF('07 Support Drivers'!$D$16="Floor space",SUMIF('08 Allocation Data'!$A$5:$A$34,$A33,'08 Allocation Data'!$F$5:$F$34),IF('07 Support Drivers'!$D$16="Weighted floor space",SUMIF('08 Allocation Data'!$A$5:$A$34,$A33,'08 Allocation Data'!$I$5:$I$34),IF('07 Support Drivers'!$D$16="Cleaning hours",SUMIF('08 Allocation Data'!$A$5:$A$34,$A33,'08 Allocation Data'!$J$5:$J$34),IF('07 Support Drivers'!$D$16="Meals",SUMIF('08 Allocation Data'!$A$5:$A$34,$A33,'08 Allocation Data'!$K$5:$K$34),IF('07 Support Drivers'!$D$16="Direct costs",SUMIF('08 Allocation Data'!$A$5:$A$34,$A33,'08 Allocation Data'!$M$5:$M$34),0)))))))/'07 Support Drivers'!$G$16,0))</f>
        <v>0</v>
      </c>
      <c r="Q33" s="55">
        <f>IF('07 Support Drivers'!$D$17="Two-stage finance",SUMIF('05 Support &amp; Income'!$A$5:$A$41,Q$4,'05 Support &amp; Income'!$F$5:$F$41)*IF(SUMIF('08 Allocation Data'!$A$5:$A$34,$A33,'08 Allocation Data'!$L$5:$L$34)&gt;0,SUMIF('08 Allocation Data'!$A$5:$A$34,$A33,'08 Allocation Data'!$L$5:$L$34),IFERROR((1-SUM('08 Allocation Data'!$L$5:$L$34))*C33/SUMIFS($C$5:$C$34,'08 Allocation Data'!$L$5:$L$34,0),0)),IFERROR(SUMIF('05 Support &amp; Income'!$A$5:$A$41,Q$4,'05 Support &amp; Income'!$F$5:$F$41)*IF('07 Support Drivers'!$D$17="Headcount",SUMIF('08 Allocation Data'!$A$5:$A$34,$A33,'08 Allocation Data'!$D$5:$D$34),IF('07 Support Drivers'!$D$17="FTE",SUMIF('08 Allocation Data'!$A$5:$A$34,$A33,'08 Allocation Data'!$E$5:$E$34),IF('07 Support Drivers'!$D$17="Floor space",SUMIF('08 Allocation Data'!$A$5:$A$34,$A33,'08 Allocation Data'!$F$5:$F$34),IF('07 Support Drivers'!$D$17="Weighted floor space",SUMIF('08 Allocation Data'!$A$5:$A$34,$A33,'08 Allocation Data'!$I$5:$I$34),IF('07 Support Drivers'!$D$17="Cleaning hours",SUMIF('08 Allocation Data'!$A$5:$A$34,$A33,'08 Allocation Data'!$J$5:$J$34),IF('07 Support Drivers'!$D$17="Meals",SUMIF('08 Allocation Data'!$A$5:$A$34,$A33,'08 Allocation Data'!$K$5:$K$34),IF('07 Support Drivers'!$D$17="Direct costs",SUMIF('08 Allocation Data'!$A$5:$A$34,$A33,'08 Allocation Data'!$M$5:$M$34),0)))))))/'07 Support Drivers'!$G$17,0))</f>
        <v>0</v>
      </c>
      <c r="R33" s="48">
        <f t="shared" si="0"/>
        <v>0</v>
      </c>
      <c r="S33" s="48">
        <f>SUMIF('04 Service Costs'!$A$5:$A$31,A33,'04 Service Costs'!$M$5:$M$31)+SUMIF('06 Shared Cost Pools'!$D$21:$D$260,A33,'06 Shared Cost Pools'!$I$21:$I$260)</f>
        <v>0</v>
      </c>
      <c r="T33" s="48">
        <f>SUMIF('04 Service Costs'!$A$5:$A$31,A33,'04 Service Costs'!$N$5:$N$31)+SUMIF('06 Shared Cost Pools'!$D$21:$D$260,A33,'06 Shared Cost Pools'!$J$21:$J$260)</f>
        <v>0</v>
      </c>
      <c r="U33" s="48">
        <f>SUMIF('04 Service Costs'!$A$5:$A$31,A33,'04 Service Costs'!$O$5:$O$31)+SUMIF('06 Shared Cost Pools'!$D$21:$D$260,A33,'06 Shared Cost Pools'!$K$21:$K$260)</f>
        <v>0</v>
      </c>
      <c r="V33" s="48">
        <f t="shared" si="1"/>
        <v>0</v>
      </c>
    </row>
    <row r="34" spans="1:22" ht="16">
      <c r="A34" s="22" t="s">
        <v>122</v>
      </c>
      <c r="B34" s="22" t="s">
        <v>124</v>
      </c>
      <c r="C34" s="56">
        <f>SUMIF('04 Service Costs'!$A$5:$A$31,A34,'04 Service Costs'!$L$5:$L$31)+SUMIF('05 Support &amp; Income'!$A$5:$A$41,A34,'05 Support &amp; Income'!$F$5:$F$41)</f>
        <v>0</v>
      </c>
      <c r="D34" s="56">
        <f>SUMIF('06 Shared Cost Pools'!$D$21:$D$260,A34,'06 Shared Cost Pools'!$F$21:$F$260)</f>
        <v>0</v>
      </c>
      <c r="E34" s="56">
        <f>IF('07 Support Drivers'!$D$5="Two-stage finance",SUMIF('05 Support &amp; Income'!$A$5:$A$41,E$4,'05 Support &amp; Income'!$F$5:$F$41)*IF(SUMIF('08 Allocation Data'!$A$5:$A$34,$A34,'08 Allocation Data'!$L$5:$L$34)&gt;0,SUMIF('08 Allocation Data'!$A$5:$A$34,$A34,'08 Allocation Data'!$L$5:$L$34),IFERROR((1-SUM('08 Allocation Data'!$L$5:$L$34))*C34/SUMIFS($C$5:$C$34,'08 Allocation Data'!$L$5:$L$34,0),0)),IFERROR(SUMIF('05 Support &amp; Income'!$A$5:$A$41,E$4,'05 Support &amp; Income'!$F$5:$F$41)*IF('07 Support Drivers'!$D$5="Headcount",SUMIF('08 Allocation Data'!$A$5:$A$34,$A34,'08 Allocation Data'!$D$5:$D$34),IF('07 Support Drivers'!$D$5="FTE",SUMIF('08 Allocation Data'!$A$5:$A$34,$A34,'08 Allocation Data'!$E$5:$E$34),IF('07 Support Drivers'!$D$5="Floor space",SUMIF('08 Allocation Data'!$A$5:$A$34,$A34,'08 Allocation Data'!$F$5:$F$34),IF('07 Support Drivers'!$D$5="Weighted floor space",SUMIF('08 Allocation Data'!$A$5:$A$34,$A34,'08 Allocation Data'!$I$5:$I$34),IF('07 Support Drivers'!$D$5="Cleaning hours",SUMIF('08 Allocation Data'!$A$5:$A$34,$A34,'08 Allocation Data'!$J$5:$J$34),IF('07 Support Drivers'!$D$5="Meals",SUMIF('08 Allocation Data'!$A$5:$A$34,$A34,'08 Allocation Data'!$K$5:$K$34),IF('07 Support Drivers'!$D$5="Direct costs",SUMIF('08 Allocation Data'!$A$5:$A$34,$A34,'08 Allocation Data'!$M$5:$M$34),0)))))))/'07 Support Drivers'!$G$5,0))</f>
        <v>0</v>
      </c>
      <c r="F34" s="56">
        <f>IF('07 Support Drivers'!$D$6="Two-stage finance",SUMIF('05 Support &amp; Income'!$A$5:$A$41,F$4,'05 Support &amp; Income'!$F$5:$F$41)*IF(SUMIF('08 Allocation Data'!$A$5:$A$34,$A34,'08 Allocation Data'!$L$5:$L$34)&gt;0,SUMIF('08 Allocation Data'!$A$5:$A$34,$A34,'08 Allocation Data'!$L$5:$L$34),IFERROR((1-SUM('08 Allocation Data'!$L$5:$L$34))*C34/SUMIFS($C$5:$C$34,'08 Allocation Data'!$L$5:$L$34,0),0)),IFERROR(SUMIF('05 Support &amp; Income'!$A$5:$A$41,F$4,'05 Support &amp; Income'!$F$5:$F$41)*IF('07 Support Drivers'!$D$6="Headcount",SUMIF('08 Allocation Data'!$A$5:$A$34,$A34,'08 Allocation Data'!$D$5:$D$34),IF('07 Support Drivers'!$D$6="FTE",SUMIF('08 Allocation Data'!$A$5:$A$34,$A34,'08 Allocation Data'!$E$5:$E$34),IF('07 Support Drivers'!$D$6="Floor space",SUMIF('08 Allocation Data'!$A$5:$A$34,$A34,'08 Allocation Data'!$F$5:$F$34),IF('07 Support Drivers'!$D$6="Weighted floor space",SUMIF('08 Allocation Data'!$A$5:$A$34,$A34,'08 Allocation Data'!$I$5:$I$34),IF('07 Support Drivers'!$D$6="Cleaning hours",SUMIF('08 Allocation Data'!$A$5:$A$34,$A34,'08 Allocation Data'!$J$5:$J$34),IF('07 Support Drivers'!$D$6="Meals",SUMIF('08 Allocation Data'!$A$5:$A$34,$A34,'08 Allocation Data'!$K$5:$K$34),IF('07 Support Drivers'!$D$6="Direct costs",SUMIF('08 Allocation Data'!$A$5:$A$34,$A34,'08 Allocation Data'!$M$5:$M$34),0)))))))/'07 Support Drivers'!$G$6,0))</f>
        <v>0</v>
      </c>
      <c r="G34" s="56">
        <f>IF('07 Support Drivers'!$D$7="Two-stage finance",SUMIF('05 Support &amp; Income'!$A$5:$A$41,G$4,'05 Support &amp; Income'!$F$5:$F$41)*IF(SUMIF('08 Allocation Data'!$A$5:$A$34,$A34,'08 Allocation Data'!$L$5:$L$34)&gt;0,SUMIF('08 Allocation Data'!$A$5:$A$34,$A34,'08 Allocation Data'!$L$5:$L$34),IFERROR((1-SUM('08 Allocation Data'!$L$5:$L$34))*C34/SUMIFS($C$5:$C$34,'08 Allocation Data'!$L$5:$L$34,0),0)),IFERROR(SUMIF('05 Support &amp; Income'!$A$5:$A$41,G$4,'05 Support &amp; Income'!$F$5:$F$41)*IF('07 Support Drivers'!$D$7="Headcount",SUMIF('08 Allocation Data'!$A$5:$A$34,$A34,'08 Allocation Data'!$D$5:$D$34),IF('07 Support Drivers'!$D$7="FTE",SUMIF('08 Allocation Data'!$A$5:$A$34,$A34,'08 Allocation Data'!$E$5:$E$34),IF('07 Support Drivers'!$D$7="Floor space",SUMIF('08 Allocation Data'!$A$5:$A$34,$A34,'08 Allocation Data'!$F$5:$F$34),IF('07 Support Drivers'!$D$7="Weighted floor space",SUMIF('08 Allocation Data'!$A$5:$A$34,$A34,'08 Allocation Data'!$I$5:$I$34),IF('07 Support Drivers'!$D$7="Cleaning hours",SUMIF('08 Allocation Data'!$A$5:$A$34,$A34,'08 Allocation Data'!$J$5:$J$34),IF('07 Support Drivers'!$D$7="Meals",SUMIF('08 Allocation Data'!$A$5:$A$34,$A34,'08 Allocation Data'!$K$5:$K$34),IF('07 Support Drivers'!$D$7="Direct costs",SUMIF('08 Allocation Data'!$A$5:$A$34,$A34,'08 Allocation Data'!$M$5:$M$34),0)))))))/'07 Support Drivers'!$G$7,0))</f>
        <v>0</v>
      </c>
      <c r="H34" s="56">
        <f>IF('07 Support Drivers'!$D$8="Two-stage finance",SUMIF('05 Support &amp; Income'!$A$5:$A$41,H$4,'05 Support &amp; Income'!$F$5:$F$41)*IF(SUMIF('08 Allocation Data'!$A$5:$A$34,$A34,'08 Allocation Data'!$L$5:$L$34)&gt;0,SUMIF('08 Allocation Data'!$A$5:$A$34,$A34,'08 Allocation Data'!$L$5:$L$34),IFERROR((1-SUM('08 Allocation Data'!$L$5:$L$34))*C34/SUMIFS($C$5:$C$34,'08 Allocation Data'!$L$5:$L$34,0),0)),IFERROR(SUMIF('05 Support &amp; Income'!$A$5:$A$41,H$4,'05 Support &amp; Income'!$F$5:$F$41)*IF('07 Support Drivers'!$D$8="Headcount",SUMIF('08 Allocation Data'!$A$5:$A$34,$A34,'08 Allocation Data'!$D$5:$D$34),IF('07 Support Drivers'!$D$8="FTE",SUMIF('08 Allocation Data'!$A$5:$A$34,$A34,'08 Allocation Data'!$E$5:$E$34),IF('07 Support Drivers'!$D$8="Floor space",SUMIF('08 Allocation Data'!$A$5:$A$34,$A34,'08 Allocation Data'!$F$5:$F$34),IF('07 Support Drivers'!$D$8="Weighted floor space",SUMIF('08 Allocation Data'!$A$5:$A$34,$A34,'08 Allocation Data'!$I$5:$I$34),IF('07 Support Drivers'!$D$8="Cleaning hours",SUMIF('08 Allocation Data'!$A$5:$A$34,$A34,'08 Allocation Data'!$J$5:$J$34),IF('07 Support Drivers'!$D$8="Meals",SUMIF('08 Allocation Data'!$A$5:$A$34,$A34,'08 Allocation Data'!$K$5:$K$34),IF('07 Support Drivers'!$D$8="Direct costs",SUMIF('08 Allocation Data'!$A$5:$A$34,$A34,'08 Allocation Data'!$M$5:$M$34),0)))))))/'07 Support Drivers'!$G$8,0))</f>
        <v>0</v>
      </c>
      <c r="I34" s="56">
        <f>IF('07 Support Drivers'!$D$9="Two-stage finance",SUMIF('05 Support &amp; Income'!$A$5:$A$41,I$4,'05 Support &amp; Income'!$F$5:$F$41)*IF(SUMIF('08 Allocation Data'!$A$5:$A$34,$A34,'08 Allocation Data'!$L$5:$L$34)&gt;0,SUMIF('08 Allocation Data'!$A$5:$A$34,$A34,'08 Allocation Data'!$L$5:$L$34),IFERROR((1-SUM('08 Allocation Data'!$L$5:$L$34))*C34/SUMIFS($C$5:$C$34,'08 Allocation Data'!$L$5:$L$34,0),0)),IFERROR(SUMIF('05 Support &amp; Income'!$A$5:$A$41,I$4,'05 Support &amp; Income'!$F$5:$F$41)*IF('07 Support Drivers'!$D$9="Headcount",SUMIF('08 Allocation Data'!$A$5:$A$34,$A34,'08 Allocation Data'!$D$5:$D$34),IF('07 Support Drivers'!$D$9="FTE",SUMIF('08 Allocation Data'!$A$5:$A$34,$A34,'08 Allocation Data'!$E$5:$E$34),IF('07 Support Drivers'!$D$9="Floor space",SUMIF('08 Allocation Data'!$A$5:$A$34,$A34,'08 Allocation Data'!$F$5:$F$34),IF('07 Support Drivers'!$D$9="Weighted floor space",SUMIF('08 Allocation Data'!$A$5:$A$34,$A34,'08 Allocation Data'!$I$5:$I$34),IF('07 Support Drivers'!$D$9="Cleaning hours",SUMIF('08 Allocation Data'!$A$5:$A$34,$A34,'08 Allocation Data'!$J$5:$J$34),IF('07 Support Drivers'!$D$9="Meals",SUMIF('08 Allocation Data'!$A$5:$A$34,$A34,'08 Allocation Data'!$K$5:$K$34),IF('07 Support Drivers'!$D$9="Direct costs",SUMIF('08 Allocation Data'!$A$5:$A$34,$A34,'08 Allocation Data'!$M$5:$M$34),0)))))))/'07 Support Drivers'!$G$9,0))</f>
        <v>0</v>
      </c>
      <c r="J34" s="56">
        <f>IF('07 Support Drivers'!$D$10="Two-stage finance",SUMIF('05 Support &amp; Income'!$A$5:$A$41,J$4,'05 Support &amp; Income'!$F$5:$F$41)*IF(SUMIF('08 Allocation Data'!$A$5:$A$34,$A34,'08 Allocation Data'!$L$5:$L$34)&gt;0,SUMIF('08 Allocation Data'!$A$5:$A$34,$A34,'08 Allocation Data'!$L$5:$L$34),IFERROR((1-SUM('08 Allocation Data'!$L$5:$L$34))*C34/SUMIFS($C$5:$C$34,'08 Allocation Data'!$L$5:$L$34,0),0)),IFERROR(SUMIF('05 Support &amp; Income'!$A$5:$A$41,J$4,'05 Support &amp; Income'!$F$5:$F$41)*IF('07 Support Drivers'!$D$10="Headcount",SUMIF('08 Allocation Data'!$A$5:$A$34,$A34,'08 Allocation Data'!$D$5:$D$34),IF('07 Support Drivers'!$D$10="FTE",SUMIF('08 Allocation Data'!$A$5:$A$34,$A34,'08 Allocation Data'!$E$5:$E$34),IF('07 Support Drivers'!$D$10="Floor space",SUMIF('08 Allocation Data'!$A$5:$A$34,$A34,'08 Allocation Data'!$F$5:$F$34),IF('07 Support Drivers'!$D$10="Weighted floor space",SUMIF('08 Allocation Data'!$A$5:$A$34,$A34,'08 Allocation Data'!$I$5:$I$34),IF('07 Support Drivers'!$D$10="Cleaning hours",SUMIF('08 Allocation Data'!$A$5:$A$34,$A34,'08 Allocation Data'!$J$5:$J$34),IF('07 Support Drivers'!$D$10="Meals",SUMIF('08 Allocation Data'!$A$5:$A$34,$A34,'08 Allocation Data'!$K$5:$K$34),IF('07 Support Drivers'!$D$10="Direct costs",SUMIF('08 Allocation Data'!$A$5:$A$34,$A34,'08 Allocation Data'!$M$5:$M$34),0)))))))/'07 Support Drivers'!$G$10,0))</f>
        <v>0</v>
      </c>
      <c r="K34" s="56">
        <f>IF('07 Support Drivers'!$D$11="Two-stage finance",SUMIF('05 Support &amp; Income'!$A$5:$A$41,K$4,'05 Support &amp; Income'!$F$5:$F$41)*IF(SUMIF('08 Allocation Data'!$A$5:$A$34,$A34,'08 Allocation Data'!$L$5:$L$34)&gt;0,SUMIF('08 Allocation Data'!$A$5:$A$34,$A34,'08 Allocation Data'!$L$5:$L$34),IFERROR((1-SUM('08 Allocation Data'!$L$5:$L$34))*C34/SUMIFS($C$5:$C$34,'08 Allocation Data'!$L$5:$L$34,0),0)),IFERROR(SUMIF('05 Support &amp; Income'!$A$5:$A$41,K$4,'05 Support &amp; Income'!$F$5:$F$41)*IF('07 Support Drivers'!$D$11="Headcount",SUMIF('08 Allocation Data'!$A$5:$A$34,$A34,'08 Allocation Data'!$D$5:$D$34),IF('07 Support Drivers'!$D$11="FTE",SUMIF('08 Allocation Data'!$A$5:$A$34,$A34,'08 Allocation Data'!$E$5:$E$34),IF('07 Support Drivers'!$D$11="Floor space",SUMIF('08 Allocation Data'!$A$5:$A$34,$A34,'08 Allocation Data'!$F$5:$F$34),IF('07 Support Drivers'!$D$11="Weighted floor space",SUMIF('08 Allocation Data'!$A$5:$A$34,$A34,'08 Allocation Data'!$I$5:$I$34),IF('07 Support Drivers'!$D$11="Cleaning hours",SUMIF('08 Allocation Data'!$A$5:$A$34,$A34,'08 Allocation Data'!$J$5:$J$34),IF('07 Support Drivers'!$D$11="Meals",SUMIF('08 Allocation Data'!$A$5:$A$34,$A34,'08 Allocation Data'!$K$5:$K$34),IF('07 Support Drivers'!$D$11="Direct costs",SUMIF('08 Allocation Data'!$A$5:$A$34,$A34,'08 Allocation Data'!$M$5:$M$34),0)))))))/'07 Support Drivers'!$G$11,0))</f>
        <v>0</v>
      </c>
      <c r="L34" s="56">
        <f>IF('07 Support Drivers'!$D$12="Two-stage finance",SUMIF('05 Support &amp; Income'!$A$5:$A$41,L$4,'05 Support &amp; Income'!$F$5:$F$41)*IF(SUMIF('08 Allocation Data'!$A$5:$A$34,$A34,'08 Allocation Data'!$L$5:$L$34)&gt;0,SUMIF('08 Allocation Data'!$A$5:$A$34,$A34,'08 Allocation Data'!$L$5:$L$34),IFERROR((1-SUM('08 Allocation Data'!$L$5:$L$34))*C34/SUMIFS($C$5:$C$34,'08 Allocation Data'!$L$5:$L$34,0),0)),IFERROR(SUMIF('05 Support &amp; Income'!$A$5:$A$41,L$4,'05 Support &amp; Income'!$F$5:$F$41)*IF('07 Support Drivers'!$D$12="Headcount",SUMIF('08 Allocation Data'!$A$5:$A$34,$A34,'08 Allocation Data'!$D$5:$D$34),IF('07 Support Drivers'!$D$12="FTE",SUMIF('08 Allocation Data'!$A$5:$A$34,$A34,'08 Allocation Data'!$E$5:$E$34),IF('07 Support Drivers'!$D$12="Floor space",SUMIF('08 Allocation Data'!$A$5:$A$34,$A34,'08 Allocation Data'!$F$5:$F$34),IF('07 Support Drivers'!$D$12="Weighted floor space",SUMIF('08 Allocation Data'!$A$5:$A$34,$A34,'08 Allocation Data'!$I$5:$I$34),IF('07 Support Drivers'!$D$12="Cleaning hours",SUMIF('08 Allocation Data'!$A$5:$A$34,$A34,'08 Allocation Data'!$J$5:$J$34),IF('07 Support Drivers'!$D$12="Meals",SUMIF('08 Allocation Data'!$A$5:$A$34,$A34,'08 Allocation Data'!$K$5:$K$34),IF('07 Support Drivers'!$D$12="Direct costs",SUMIF('08 Allocation Data'!$A$5:$A$34,$A34,'08 Allocation Data'!$M$5:$M$34),0)))))))/'07 Support Drivers'!$G$12,0))</f>
        <v>0</v>
      </c>
      <c r="M34" s="56">
        <f>IF('07 Support Drivers'!$D$13="Two-stage finance",SUMIF('05 Support &amp; Income'!$A$5:$A$41,M$4,'05 Support &amp; Income'!$F$5:$F$41)*IF(SUMIF('08 Allocation Data'!$A$5:$A$34,$A34,'08 Allocation Data'!$L$5:$L$34)&gt;0,SUMIF('08 Allocation Data'!$A$5:$A$34,$A34,'08 Allocation Data'!$L$5:$L$34),IFERROR((1-SUM('08 Allocation Data'!$L$5:$L$34))*C34/SUMIFS($C$5:$C$34,'08 Allocation Data'!$L$5:$L$34,0),0)),IFERROR(SUMIF('05 Support &amp; Income'!$A$5:$A$41,M$4,'05 Support &amp; Income'!$F$5:$F$41)*IF('07 Support Drivers'!$D$13="Headcount",SUMIF('08 Allocation Data'!$A$5:$A$34,$A34,'08 Allocation Data'!$D$5:$D$34),IF('07 Support Drivers'!$D$13="FTE",SUMIF('08 Allocation Data'!$A$5:$A$34,$A34,'08 Allocation Data'!$E$5:$E$34),IF('07 Support Drivers'!$D$13="Floor space",SUMIF('08 Allocation Data'!$A$5:$A$34,$A34,'08 Allocation Data'!$F$5:$F$34),IF('07 Support Drivers'!$D$13="Weighted floor space",SUMIF('08 Allocation Data'!$A$5:$A$34,$A34,'08 Allocation Data'!$I$5:$I$34),IF('07 Support Drivers'!$D$13="Cleaning hours",SUMIF('08 Allocation Data'!$A$5:$A$34,$A34,'08 Allocation Data'!$J$5:$J$34),IF('07 Support Drivers'!$D$13="Meals",SUMIF('08 Allocation Data'!$A$5:$A$34,$A34,'08 Allocation Data'!$K$5:$K$34),IF('07 Support Drivers'!$D$13="Direct costs",SUMIF('08 Allocation Data'!$A$5:$A$34,$A34,'08 Allocation Data'!$M$5:$M$34),0)))))))/'07 Support Drivers'!$G$13,0))</f>
        <v>0</v>
      </c>
      <c r="N34" s="56">
        <f>IF('07 Support Drivers'!$D$14="Two-stage finance",SUMIF('05 Support &amp; Income'!$A$5:$A$41,N$4,'05 Support &amp; Income'!$F$5:$F$41)*IF(SUMIF('08 Allocation Data'!$A$5:$A$34,$A34,'08 Allocation Data'!$L$5:$L$34)&gt;0,SUMIF('08 Allocation Data'!$A$5:$A$34,$A34,'08 Allocation Data'!$L$5:$L$34),IFERROR((1-SUM('08 Allocation Data'!$L$5:$L$34))*C34/SUMIFS($C$5:$C$34,'08 Allocation Data'!$L$5:$L$34,0),0)),IFERROR(SUMIF('05 Support &amp; Income'!$A$5:$A$41,N$4,'05 Support &amp; Income'!$F$5:$F$41)*IF('07 Support Drivers'!$D$14="Headcount",SUMIF('08 Allocation Data'!$A$5:$A$34,$A34,'08 Allocation Data'!$D$5:$D$34),IF('07 Support Drivers'!$D$14="FTE",SUMIF('08 Allocation Data'!$A$5:$A$34,$A34,'08 Allocation Data'!$E$5:$E$34),IF('07 Support Drivers'!$D$14="Floor space",SUMIF('08 Allocation Data'!$A$5:$A$34,$A34,'08 Allocation Data'!$F$5:$F$34),IF('07 Support Drivers'!$D$14="Weighted floor space",SUMIF('08 Allocation Data'!$A$5:$A$34,$A34,'08 Allocation Data'!$I$5:$I$34),IF('07 Support Drivers'!$D$14="Cleaning hours",SUMIF('08 Allocation Data'!$A$5:$A$34,$A34,'08 Allocation Data'!$J$5:$J$34),IF('07 Support Drivers'!$D$14="Meals",SUMIF('08 Allocation Data'!$A$5:$A$34,$A34,'08 Allocation Data'!$K$5:$K$34),IF('07 Support Drivers'!$D$14="Direct costs",SUMIF('08 Allocation Data'!$A$5:$A$34,$A34,'08 Allocation Data'!$M$5:$M$34),0)))))))/'07 Support Drivers'!$G$14,0))</f>
        <v>0</v>
      </c>
      <c r="O34" s="56">
        <f>IF('07 Support Drivers'!$D$15="Two-stage finance",SUMIF('05 Support &amp; Income'!$A$5:$A$41,O$4,'05 Support &amp; Income'!$F$5:$F$41)*IF(SUMIF('08 Allocation Data'!$A$5:$A$34,$A34,'08 Allocation Data'!$L$5:$L$34)&gt;0,SUMIF('08 Allocation Data'!$A$5:$A$34,$A34,'08 Allocation Data'!$L$5:$L$34),IFERROR((1-SUM('08 Allocation Data'!$L$5:$L$34))*C34/SUMIFS($C$5:$C$34,'08 Allocation Data'!$L$5:$L$34,0),0)),IFERROR(SUMIF('05 Support &amp; Income'!$A$5:$A$41,O$4,'05 Support &amp; Income'!$F$5:$F$41)*IF('07 Support Drivers'!$D$15="Headcount",SUMIF('08 Allocation Data'!$A$5:$A$34,$A34,'08 Allocation Data'!$D$5:$D$34),IF('07 Support Drivers'!$D$15="FTE",SUMIF('08 Allocation Data'!$A$5:$A$34,$A34,'08 Allocation Data'!$E$5:$E$34),IF('07 Support Drivers'!$D$15="Floor space",SUMIF('08 Allocation Data'!$A$5:$A$34,$A34,'08 Allocation Data'!$F$5:$F$34),IF('07 Support Drivers'!$D$15="Weighted floor space",SUMIF('08 Allocation Data'!$A$5:$A$34,$A34,'08 Allocation Data'!$I$5:$I$34),IF('07 Support Drivers'!$D$15="Cleaning hours",SUMIF('08 Allocation Data'!$A$5:$A$34,$A34,'08 Allocation Data'!$J$5:$J$34),IF('07 Support Drivers'!$D$15="Meals",SUMIF('08 Allocation Data'!$A$5:$A$34,$A34,'08 Allocation Data'!$K$5:$K$34),IF('07 Support Drivers'!$D$15="Direct costs",SUMIF('08 Allocation Data'!$A$5:$A$34,$A34,'08 Allocation Data'!$M$5:$M$34),0)))))))/'07 Support Drivers'!$G$15,0))</f>
        <v>0</v>
      </c>
      <c r="P34" s="56">
        <f>IF('07 Support Drivers'!$D$16="Two-stage finance",SUMIF('05 Support &amp; Income'!$A$5:$A$41,P$4,'05 Support &amp; Income'!$F$5:$F$41)*IF(SUMIF('08 Allocation Data'!$A$5:$A$34,$A34,'08 Allocation Data'!$L$5:$L$34)&gt;0,SUMIF('08 Allocation Data'!$A$5:$A$34,$A34,'08 Allocation Data'!$L$5:$L$34),IFERROR((1-SUM('08 Allocation Data'!$L$5:$L$34))*C34/SUMIFS($C$5:$C$34,'08 Allocation Data'!$L$5:$L$34,0),0)),IFERROR(SUMIF('05 Support &amp; Income'!$A$5:$A$41,P$4,'05 Support &amp; Income'!$F$5:$F$41)*IF('07 Support Drivers'!$D$16="Headcount",SUMIF('08 Allocation Data'!$A$5:$A$34,$A34,'08 Allocation Data'!$D$5:$D$34),IF('07 Support Drivers'!$D$16="FTE",SUMIF('08 Allocation Data'!$A$5:$A$34,$A34,'08 Allocation Data'!$E$5:$E$34),IF('07 Support Drivers'!$D$16="Floor space",SUMIF('08 Allocation Data'!$A$5:$A$34,$A34,'08 Allocation Data'!$F$5:$F$34),IF('07 Support Drivers'!$D$16="Weighted floor space",SUMIF('08 Allocation Data'!$A$5:$A$34,$A34,'08 Allocation Data'!$I$5:$I$34),IF('07 Support Drivers'!$D$16="Cleaning hours",SUMIF('08 Allocation Data'!$A$5:$A$34,$A34,'08 Allocation Data'!$J$5:$J$34),IF('07 Support Drivers'!$D$16="Meals",SUMIF('08 Allocation Data'!$A$5:$A$34,$A34,'08 Allocation Data'!$K$5:$K$34),IF('07 Support Drivers'!$D$16="Direct costs",SUMIF('08 Allocation Data'!$A$5:$A$34,$A34,'08 Allocation Data'!$M$5:$M$34),0)))))))/'07 Support Drivers'!$G$16,0))</f>
        <v>0</v>
      </c>
      <c r="Q34" s="56">
        <f>IF('07 Support Drivers'!$D$17="Two-stage finance",SUMIF('05 Support &amp; Income'!$A$5:$A$41,Q$4,'05 Support &amp; Income'!$F$5:$F$41)*IF(SUMIF('08 Allocation Data'!$A$5:$A$34,$A34,'08 Allocation Data'!$L$5:$L$34)&gt;0,SUMIF('08 Allocation Data'!$A$5:$A$34,$A34,'08 Allocation Data'!$L$5:$L$34),IFERROR((1-SUM('08 Allocation Data'!$L$5:$L$34))*C34/SUMIFS($C$5:$C$34,'08 Allocation Data'!$L$5:$L$34,0),0)),IFERROR(SUMIF('05 Support &amp; Income'!$A$5:$A$41,Q$4,'05 Support &amp; Income'!$F$5:$F$41)*IF('07 Support Drivers'!$D$17="Headcount",SUMIF('08 Allocation Data'!$A$5:$A$34,$A34,'08 Allocation Data'!$D$5:$D$34),IF('07 Support Drivers'!$D$17="FTE",SUMIF('08 Allocation Data'!$A$5:$A$34,$A34,'08 Allocation Data'!$E$5:$E$34),IF('07 Support Drivers'!$D$17="Floor space",SUMIF('08 Allocation Data'!$A$5:$A$34,$A34,'08 Allocation Data'!$F$5:$F$34),IF('07 Support Drivers'!$D$17="Weighted floor space",SUMIF('08 Allocation Data'!$A$5:$A$34,$A34,'08 Allocation Data'!$I$5:$I$34),IF('07 Support Drivers'!$D$17="Cleaning hours",SUMIF('08 Allocation Data'!$A$5:$A$34,$A34,'08 Allocation Data'!$J$5:$J$34),IF('07 Support Drivers'!$D$17="Meals",SUMIF('08 Allocation Data'!$A$5:$A$34,$A34,'08 Allocation Data'!$K$5:$K$34),IF('07 Support Drivers'!$D$17="Direct costs",SUMIF('08 Allocation Data'!$A$5:$A$34,$A34,'08 Allocation Data'!$M$5:$M$34),0)))))))/'07 Support Drivers'!$G$17,0))</f>
        <v>0</v>
      </c>
      <c r="R34" s="56">
        <f t="shared" si="0"/>
        <v>0</v>
      </c>
      <c r="S34" s="48">
        <f>SUMIF('04 Service Costs'!$A$5:$A$31,A34,'04 Service Costs'!$M$5:$M$31)+SUMIF('06 Shared Cost Pools'!$D$21:$D$260,A34,'06 Shared Cost Pools'!$I$21:$I$260)</f>
        <v>0</v>
      </c>
      <c r="T34" s="48">
        <f>SUMIF('04 Service Costs'!$A$5:$A$31,A34,'04 Service Costs'!$N$5:$N$31)+SUMIF('06 Shared Cost Pools'!$D$21:$D$260,A34,'06 Shared Cost Pools'!$J$21:$J$260)</f>
        <v>0</v>
      </c>
      <c r="U34" s="48">
        <f>SUMIF('04 Service Costs'!$A$5:$A$31,A34,'04 Service Costs'!$O$5:$O$31)+SUMIF('06 Shared Cost Pools'!$D$21:$D$260,A34,'06 Shared Cost Pools'!$K$21:$K$260)</f>
        <v>0</v>
      </c>
      <c r="V34" s="48">
        <f t="shared" si="1"/>
        <v>0</v>
      </c>
    </row>
  </sheetData>
  <sheetProtection sheet="1" objects="1" scenarios="1" formatColumns="0" formatRows="0"/>
  <mergeCells count="2">
    <mergeCell ref="A1:P1"/>
    <mergeCell ref="A2:P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69"/>
  <sheetViews>
    <sheetView showGridLines="0" workbookViewId="0"/>
  </sheetViews>
  <sheetFormatPr baseColWidth="10" defaultColWidth="8.83203125" defaultRowHeight="14"/>
  <cols>
    <col min="1" max="1" width="16" customWidth="1"/>
    <col min="2" max="2" width="26" customWidth="1"/>
    <col min="3" max="4" width="34" customWidth="1"/>
    <col min="5" max="5" width="20" customWidth="1"/>
    <col min="6" max="6" width="12" customWidth="1"/>
    <col min="7" max="7" width="3" customWidth="1"/>
    <col min="8" max="8" width="50" customWidth="1"/>
    <col min="9" max="9" width="18" customWidth="1"/>
    <col min="10" max="10" width="14" customWidth="1"/>
    <col min="11" max="11" width="24" customWidth="1"/>
    <col min="12" max="24" width="22" customWidth="1"/>
  </cols>
  <sheetData>
    <row r="1" spans="1:25" ht="34" customHeight="1">
      <c r="A1" s="111" t="s">
        <v>634</v>
      </c>
      <c r="B1" s="111"/>
      <c r="C1" s="111"/>
      <c r="D1" s="111"/>
      <c r="E1" s="111"/>
      <c r="F1" s="111"/>
      <c r="G1" s="111"/>
      <c r="H1" s="111"/>
      <c r="I1" s="111"/>
      <c r="J1" s="111"/>
      <c r="K1" s="111"/>
      <c r="L1" s="111"/>
      <c r="M1" s="111"/>
      <c r="N1" s="111"/>
      <c r="O1" s="111"/>
      <c r="P1" s="111"/>
      <c r="Q1" s="111"/>
      <c r="R1" s="111"/>
      <c r="S1" s="111"/>
      <c r="T1" s="111"/>
      <c r="U1" s="111"/>
      <c r="V1" s="111"/>
      <c r="W1" s="111"/>
      <c r="X1" s="111"/>
      <c r="Y1" s="111"/>
    </row>
    <row r="2" spans="1:25" ht="28" customHeight="1">
      <c r="A2" s="112" t="s">
        <v>635</v>
      </c>
      <c r="B2" s="112"/>
      <c r="C2" s="112"/>
      <c r="D2" s="112"/>
      <c r="E2" s="112"/>
      <c r="F2" s="112"/>
      <c r="G2" s="112"/>
      <c r="H2" s="112"/>
      <c r="I2" s="112"/>
      <c r="J2" s="112"/>
      <c r="K2" s="112"/>
      <c r="L2" s="112"/>
      <c r="M2" s="112"/>
      <c r="N2" s="112"/>
      <c r="O2" s="112"/>
      <c r="P2" s="112"/>
      <c r="Q2" s="112"/>
      <c r="R2" s="112"/>
      <c r="S2" s="112"/>
      <c r="T2" s="112"/>
      <c r="U2" s="112"/>
      <c r="V2" s="112"/>
      <c r="W2" s="112"/>
      <c r="X2" s="112"/>
      <c r="Y2" s="112"/>
    </row>
    <row r="4" spans="1:25" ht="24" customHeight="1">
      <c r="A4" s="118" t="s">
        <v>636</v>
      </c>
      <c r="B4" s="118"/>
      <c r="C4" s="118"/>
      <c r="D4" s="118"/>
      <c r="E4" s="118"/>
      <c r="F4" s="118"/>
      <c r="H4" s="118" t="s">
        <v>637</v>
      </c>
      <c r="I4" s="118"/>
      <c r="J4" s="1" t="s">
        <v>638</v>
      </c>
      <c r="K4" s="1" t="s">
        <v>639</v>
      </c>
      <c r="L4" s="118" t="s">
        <v>640</v>
      </c>
      <c r="M4" s="118"/>
      <c r="N4" s="118"/>
      <c r="O4" s="118"/>
      <c r="P4" s="118"/>
      <c r="Q4" s="118"/>
      <c r="R4" s="118"/>
      <c r="S4" s="118"/>
      <c r="T4" s="118"/>
      <c r="U4" s="118"/>
      <c r="V4" s="118"/>
      <c r="W4" s="118"/>
      <c r="X4" s="118"/>
      <c r="Y4" s="1" t="s">
        <v>641</v>
      </c>
    </row>
    <row r="5" spans="1:25" ht="30" customHeight="1">
      <c r="A5" s="2" t="s">
        <v>108</v>
      </c>
      <c r="B5" s="2" t="s">
        <v>109</v>
      </c>
      <c r="C5" s="2" t="s">
        <v>110</v>
      </c>
      <c r="D5" s="2" t="s">
        <v>111</v>
      </c>
      <c r="E5" s="2" t="s">
        <v>642</v>
      </c>
      <c r="F5" s="2" t="s">
        <v>643</v>
      </c>
      <c r="H5" s="2" t="s">
        <v>644</v>
      </c>
      <c r="I5" s="2" t="s">
        <v>108</v>
      </c>
      <c r="J5" s="2" t="s">
        <v>314</v>
      </c>
      <c r="K5" s="2" t="s">
        <v>446</v>
      </c>
      <c r="L5" s="2" t="s">
        <v>228</v>
      </c>
      <c r="M5" s="2" t="s">
        <v>238</v>
      </c>
      <c r="N5" s="2" t="s">
        <v>243</v>
      </c>
      <c r="O5" s="2" t="s">
        <v>248</v>
      </c>
      <c r="P5" s="2" t="s">
        <v>253</v>
      </c>
      <c r="Q5" s="2" t="s">
        <v>257</v>
      </c>
      <c r="R5" s="2" t="s">
        <v>261</v>
      </c>
      <c r="S5" s="2" t="s">
        <v>265</v>
      </c>
      <c r="T5" s="2" t="s">
        <v>270</v>
      </c>
      <c r="U5" s="2" t="s">
        <v>275</v>
      </c>
      <c r="V5" s="2" t="s">
        <v>280</v>
      </c>
      <c r="W5" s="2" t="s">
        <v>284</v>
      </c>
      <c r="X5" s="2" t="s">
        <v>290</v>
      </c>
      <c r="Y5" s="2" t="s">
        <v>645</v>
      </c>
    </row>
    <row r="6" spans="1:25">
      <c r="A6" s="3" t="s">
        <v>113</v>
      </c>
      <c r="B6" s="3" t="s">
        <v>114</v>
      </c>
      <c r="C6" s="3" t="s">
        <v>115</v>
      </c>
      <c r="D6" s="3" t="s">
        <v>116</v>
      </c>
      <c r="E6" s="3" t="s">
        <v>383</v>
      </c>
      <c r="F6" s="3" t="s">
        <v>646</v>
      </c>
      <c r="H6" s="3" t="s">
        <v>647</v>
      </c>
      <c r="I6" s="3" t="s">
        <v>213</v>
      </c>
      <c r="J6" s="3" t="s">
        <v>321</v>
      </c>
      <c r="K6" s="3" t="s">
        <v>648</v>
      </c>
      <c r="L6" s="3" t="s">
        <v>233</v>
      </c>
      <c r="M6" s="3" t="s">
        <v>233</v>
      </c>
      <c r="N6" s="3" t="s">
        <v>246</v>
      </c>
      <c r="O6" s="3" t="s">
        <v>251</v>
      </c>
      <c r="P6" s="3" t="s">
        <v>251</v>
      </c>
      <c r="Q6" s="3" t="s">
        <v>251</v>
      </c>
      <c r="R6" s="3" t="s">
        <v>251</v>
      </c>
      <c r="S6" s="3" t="s">
        <v>268</v>
      </c>
      <c r="T6" s="3" t="s">
        <v>273</v>
      </c>
      <c r="U6" s="3" t="s">
        <v>278</v>
      </c>
      <c r="V6" s="3" t="s">
        <v>273</v>
      </c>
      <c r="W6" s="3" t="s">
        <v>287</v>
      </c>
      <c r="X6" s="3" t="s">
        <v>233</v>
      </c>
      <c r="Y6" s="3" t="s">
        <v>483</v>
      </c>
    </row>
    <row r="7" spans="1:25">
      <c r="A7" s="3" t="s">
        <v>117</v>
      </c>
      <c r="B7" s="3" t="s">
        <v>114</v>
      </c>
      <c r="C7" s="3" t="s">
        <v>118</v>
      </c>
      <c r="D7" s="3" t="s">
        <v>119</v>
      </c>
      <c r="E7" s="3" t="s">
        <v>392</v>
      </c>
      <c r="F7" s="3" t="s">
        <v>646</v>
      </c>
      <c r="H7" s="3" t="s">
        <v>649</v>
      </c>
      <c r="I7" s="3" t="s">
        <v>214</v>
      </c>
      <c r="J7" s="3" t="s">
        <v>322</v>
      </c>
      <c r="K7" s="3" t="s">
        <v>650</v>
      </c>
      <c r="L7" s="3" t="s">
        <v>251</v>
      </c>
      <c r="M7" s="3" t="s">
        <v>251</v>
      </c>
      <c r="N7" s="3" t="s">
        <v>367</v>
      </c>
      <c r="O7" s="3" t="s">
        <v>233</v>
      </c>
      <c r="P7" s="3" t="s">
        <v>233</v>
      </c>
      <c r="Q7" s="3" t="s">
        <v>233</v>
      </c>
      <c r="R7" s="3" t="s">
        <v>233</v>
      </c>
      <c r="S7" s="3" t="s">
        <v>273</v>
      </c>
      <c r="T7" s="3" t="s">
        <v>268</v>
      </c>
      <c r="U7" s="3" t="s">
        <v>273</v>
      </c>
      <c r="V7" s="3" t="s">
        <v>268</v>
      </c>
      <c r="W7" s="3" t="s">
        <v>251</v>
      </c>
      <c r="X7" s="3" t="s">
        <v>251</v>
      </c>
      <c r="Y7" s="3" t="s">
        <v>651</v>
      </c>
    </row>
    <row r="8" spans="1:25">
      <c r="A8" s="3" t="s">
        <v>120</v>
      </c>
      <c r="B8" s="3" t="s">
        <v>114</v>
      </c>
      <c r="C8" s="3" t="s">
        <v>118</v>
      </c>
      <c r="D8" s="3" t="s">
        <v>121</v>
      </c>
      <c r="E8" s="3" t="s">
        <v>396</v>
      </c>
      <c r="F8" s="3" t="s">
        <v>646</v>
      </c>
      <c r="H8" s="3" t="s">
        <v>652</v>
      </c>
      <c r="I8" s="3" t="s">
        <v>215</v>
      </c>
      <c r="J8" s="3" t="s">
        <v>323</v>
      </c>
      <c r="K8" s="3" t="s">
        <v>653</v>
      </c>
      <c r="L8" s="3" t="s">
        <v>367</v>
      </c>
      <c r="M8" s="3" t="s">
        <v>367</v>
      </c>
      <c r="O8" s="3" t="s">
        <v>367</v>
      </c>
      <c r="P8" s="3" t="s">
        <v>367</v>
      </c>
      <c r="Q8" s="3" t="s">
        <v>367</v>
      </c>
      <c r="R8" s="3" t="s">
        <v>367</v>
      </c>
      <c r="S8" s="3" t="s">
        <v>367</v>
      </c>
      <c r="T8" s="3" t="s">
        <v>367</v>
      </c>
      <c r="U8" s="3" t="s">
        <v>233</v>
      </c>
      <c r="V8" s="3" t="s">
        <v>251</v>
      </c>
      <c r="W8" s="3" t="s">
        <v>367</v>
      </c>
      <c r="X8" s="3" t="s">
        <v>367</v>
      </c>
    </row>
    <row r="9" spans="1:25">
      <c r="A9" s="3" t="s">
        <v>125</v>
      </c>
      <c r="B9" s="3" t="s">
        <v>114</v>
      </c>
      <c r="C9" s="3" t="s">
        <v>123</v>
      </c>
      <c r="D9" s="3" t="s">
        <v>126</v>
      </c>
      <c r="E9" s="3" t="s">
        <v>396</v>
      </c>
      <c r="F9" s="3" t="s">
        <v>646</v>
      </c>
      <c r="H9" s="3" t="s">
        <v>654</v>
      </c>
      <c r="I9" s="3" t="s">
        <v>117</v>
      </c>
      <c r="J9" s="3" t="s">
        <v>324</v>
      </c>
    </row>
    <row r="10" spans="1:25">
      <c r="A10" s="3" t="s">
        <v>127</v>
      </c>
      <c r="B10" s="3" t="s">
        <v>114</v>
      </c>
      <c r="C10" s="3" t="s">
        <v>123</v>
      </c>
      <c r="D10" s="3" t="s">
        <v>128</v>
      </c>
      <c r="E10" s="3" t="s">
        <v>398</v>
      </c>
      <c r="F10" s="3" t="s">
        <v>646</v>
      </c>
      <c r="H10" s="3" t="s">
        <v>655</v>
      </c>
      <c r="I10" s="3" t="s">
        <v>120</v>
      </c>
      <c r="J10" s="3" t="s">
        <v>325</v>
      </c>
    </row>
    <row r="11" spans="1:25">
      <c r="A11" s="3" t="s">
        <v>129</v>
      </c>
      <c r="B11" s="3" t="s">
        <v>114</v>
      </c>
      <c r="C11" s="3" t="s">
        <v>130</v>
      </c>
      <c r="D11" s="3" t="s">
        <v>131</v>
      </c>
      <c r="E11" s="3" t="s">
        <v>398</v>
      </c>
      <c r="F11" s="3" t="s">
        <v>646</v>
      </c>
      <c r="H11" s="3" t="s">
        <v>656</v>
      </c>
      <c r="I11" s="3" t="s">
        <v>125</v>
      </c>
      <c r="J11" s="3" t="s">
        <v>326</v>
      </c>
    </row>
    <row r="12" spans="1:25">
      <c r="A12" s="3" t="s">
        <v>132</v>
      </c>
      <c r="B12" s="3" t="s">
        <v>114</v>
      </c>
      <c r="C12" s="3" t="s">
        <v>130</v>
      </c>
      <c r="D12" s="3" t="s">
        <v>133</v>
      </c>
      <c r="E12" s="3" t="s">
        <v>396</v>
      </c>
      <c r="F12" s="3" t="s">
        <v>646</v>
      </c>
      <c r="H12" s="3" t="s">
        <v>657</v>
      </c>
      <c r="I12" s="3" t="s">
        <v>127</v>
      </c>
      <c r="J12" s="3" t="s">
        <v>327</v>
      </c>
    </row>
    <row r="13" spans="1:25">
      <c r="A13" s="3" t="s">
        <v>134</v>
      </c>
      <c r="B13" s="3" t="s">
        <v>114</v>
      </c>
      <c r="C13" s="3" t="s">
        <v>130</v>
      </c>
      <c r="D13" s="3" t="s">
        <v>135</v>
      </c>
      <c r="E13" s="3" t="s">
        <v>398</v>
      </c>
      <c r="F13" s="3" t="s">
        <v>646</v>
      </c>
      <c r="H13" s="3" t="s">
        <v>658</v>
      </c>
      <c r="I13" s="3" t="s">
        <v>129</v>
      </c>
      <c r="J13" s="3" t="s">
        <v>328</v>
      </c>
    </row>
    <row r="14" spans="1:25">
      <c r="A14" s="3" t="s">
        <v>136</v>
      </c>
      <c r="B14" s="3" t="s">
        <v>114</v>
      </c>
      <c r="C14" s="3" t="s">
        <v>137</v>
      </c>
      <c r="D14" s="3" t="s">
        <v>137</v>
      </c>
      <c r="E14" s="3" t="s">
        <v>392</v>
      </c>
      <c r="F14" s="3" t="s">
        <v>646</v>
      </c>
      <c r="H14" s="3" t="s">
        <v>659</v>
      </c>
      <c r="I14" s="3" t="s">
        <v>132</v>
      </c>
      <c r="J14" s="3" t="s">
        <v>329</v>
      </c>
    </row>
    <row r="15" spans="1:25">
      <c r="A15" s="3" t="s">
        <v>138</v>
      </c>
      <c r="B15" s="3" t="s">
        <v>114</v>
      </c>
      <c r="C15" s="3" t="s">
        <v>139</v>
      </c>
      <c r="D15" s="3" t="s">
        <v>140</v>
      </c>
      <c r="E15" s="3" t="s">
        <v>403</v>
      </c>
      <c r="F15" s="3" t="s">
        <v>646</v>
      </c>
      <c r="H15" s="3" t="s">
        <v>660</v>
      </c>
      <c r="I15" s="3" t="s">
        <v>134</v>
      </c>
      <c r="J15" s="3" t="s">
        <v>330</v>
      </c>
    </row>
    <row r="16" spans="1:25">
      <c r="A16" s="3" t="s">
        <v>141</v>
      </c>
      <c r="B16" s="3" t="s">
        <v>114</v>
      </c>
      <c r="C16" s="3" t="s">
        <v>139</v>
      </c>
      <c r="D16" s="3" t="s">
        <v>142</v>
      </c>
      <c r="E16" s="3" t="s">
        <v>403</v>
      </c>
      <c r="F16" s="3" t="s">
        <v>646</v>
      </c>
      <c r="H16" s="3" t="s">
        <v>661</v>
      </c>
      <c r="I16" s="3" t="s">
        <v>136</v>
      </c>
      <c r="J16" s="3" t="s">
        <v>331</v>
      </c>
    </row>
    <row r="17" spans="1:10">
      <c r="A17" s="3" t="s">
        <v>143</v>
      </c>
      <c r="B17" s="3" t="s">
        <v>114</v>
      </c>
      <c r="C17" s="3" t="s">
        <v>139</v>
      </c>
      <c r="D17" s="3" t="s">
        <v>144</v>
      </c>
      <c r="E17" s="3" t="s">
        <v>407</v>
      </c>
      <c r="F17" s="3" t="s">
        <v>646</v>
      </c>
      <c r="H17" s="3" t="s">
        <v>662</v>
      </c>
      <c r="I17" s="3" t="s">
        <v>138</v>
      </c>
      <c r="J17" s="3" t="s">
        <v>332</v>
      </c>
    </row>
    <row r="18" spans="1:10">
      <c r="A18" s="3" t="s">
        <v>145</v>
      </c>
      <c r="B18" s="3" t="s">
        <v>146</v>
      </c>
      <c r="C18" s="3" t="s">
        <v>147</v>
      </c>
      <c r="D18" s="3" t="s">
        <v>148</v>
      </c>
      <c r="E18" s="3" t="s">
        <v>410</v>
      </c>
      <c r="F18" s="3" t="s">
        <v>646</v>
      </c>
      <c r="H18" s="3" t="s">
        <v>663</v>
      </c>
      <c r="I18" s="3" t="s">
        <v>141</v>
      </c>
    </row>
    <row r="19" spans="1:10">
      <c r="A19" s="3" t="s">
        <v>149</v>
      </c>
      <c r="B19" s="3" t="s">
        <v>146</v>
      </c>
      <c r="C19" s="3" t="s">
        <v>147</v>
      </c>
      <c r="D19" s="3" t="s">
        <v>150</v>
      </c>
      <c r="E19" s="3" t="s">
        <v>396</v>
      </c>
      <c r="F19" s="3" t="s">
        <v>646</v>
      </c>
      <c r="H19" s="3" t="s">
        <v>664</v>
      </c>
      <c r="I19" s="3" t="s">
        <v>143</v>
      </c>
    </row>
    <row r="20" spans="1:10">
      <c r="A20" s="3" t="s">
        <v>151</v>
      </c>
      <c r="B20" s="3" t="s">
        <v>146</v>
      </c>
      <c r="C20" s="3" t="s">
        <v>147</v>
      </c>
      <c r="D20" s="3" t="s">
        <v>152</v>
      </c>
      <c r="E20" s="3" t="s">
        <v>396</v>
      </c>
      <c r="F20" s="3" t="s">
        <v>646</v>
      </c>
      <c r="H20" s="3" t="s">
        <v>665</v>
      </c>
      <c r="I20" s="3" t="s">
        <v>145</v>
      </c>
    </row>
    <row r="21" spans="1:10">
      <c r="A21" s="3" t="s">
        <v>153</v>
      </c>
      <c r="B21" s="3" t="s">
        <v>146</v>
      </c>
      <c r="C21" s="3" t="s">
        <v>147</v>
      </c>
      <c r="D21" s="3" t="s">
        <v>154</v>
      </c>
      <c r="E21" s="3" t="s">
        <v>410</v>
      </c>
      <c r="F21" s="3" t="s">
        <v>646</v>
      </c>
      <c r="H21" s="3" t="s">
        <v>666</v>
      </c>
      <c r="I21" s="3" t="s">
        <v>149</v>
      </c>
    </row>
    <row r="22" spans="1:10">
      <c r="A22" s="3" t="s">
        <v>155</v>
      </c>
      <c r="B22" s="3" t="s">
        <v>146</v>
      </c>
      <c r="C22" s="3" t="s">
        <v>147</v>
      </c>
      <c r="D22" s="3" t="s">
        <v>121</v>
      </c>
      <c r="E22" s="3" t="s">
        <v>396</v>
      </c>
      <c r="F22" s="3" t="s">
        <v>646</v>
      </c>
      <c r="H22" s="3" t="s">
        <v>667</v>
      </c>
      <c r="I22" s="3" t="s">
        <v>151</v>
      </c>
    </row>
    <row r="23" spans="1:10">
      <c r="A23" s="3" t="s">
        <v>156</v>
      </c>
      <c r="B23" s="3" t="s">
        <v>146</v>
      </c>
      <c r="C23" s="3" t="s">
        <v>147</v>
      </c>
      <c r="D23" s="3" t="s">
        <v>157</v>
      </c>
      <c r="E23" s="3" t="s">
        <v>392</v>
      </c>
      <c r="F23" s="3" t="s">
        <v>646</v>
      </c>
      <c r="H23" s="3" t="s">
        <v>668</v>
      </c>
      <c r="I23" s="3" t="s">
        <v>153</v>
      </c>
    </row>
    <row r="24" spans="1:10">
      <c r="A24" s="3" t="s">
        <v>158</v>
      </c>
      <c r="B24" s="3" t="s">
        <v>146</v>
      </c>
      <c r="C24" s="3" t="s">
        <v>147</v>
      </c>
      <c r="D24" s="3" t="s">
        <v>159</v>
      </c>
      <c r="E24" s="3" t="s">
        <v>403</v>
      </c>
      <c r="F24" s="3" t="s">
        <v>646</v>
      </c>
      <c r="H24" s="3" t="s">
        <v>669</v>
      </c>
      <c r="I24" s="3" t="s">
        <v>155</v>
      </c>
    </row>
    <row r="25" spans="1:10">
      <c r="A25" s="3" t="s">
        <v>160</v>
      </c>
      <c r="B25" s="3" t="s">
        <v>146</v>
      </c>
      <c r="C25" s="3" t="s">
        <v>147</v>
      </c>
      <c r="D25" s="3" t="s">
        <v>161</v>
      </c>
      <c r="E25" s="3" t="s">
        <v>403</v>
      </c>
      <c r="F25" s="3" t="s">
        <v>646</v>
      </c>
      <c r="H25" s="3" t="s">
        <v>670</v>
      </c>
      <c r="I25" s="3" t="s">
        <v>156</v>
      </c>
    </row>
    <row r="26" spans="1:10">
      <c r="A26" s="3" t="s">
        <v>162</v>
      </c>
      <c r="B26" s="3" t="s">
        <v>146</v>
      </c>
      <c r="C26" s="3" t="s">
        <v>147</v>
      </c>
      <c r="D26" s="3" t="s">
        <v>163</v>
      </c>
      <c r="E26" s="3" t="s">
        <v>407</v>
      </c>
      <c r="F26" s="3" t="s">
        <v>646</v>
      </c>
      <c r="H26" s="3" t="s">
        <v>671</v>
      </c>
      <c r="I26" s="3" t="s">
        <v>158</v>
      </c>
    </row>
    <row r="27" spans="1:10">
      <c r="A27" s="3" t="s">
        <v>164</v>
      </c>
      <c r="B27" s="3" t="s">
        <v>165</v>
      </c>
      <c r="C27" s="3" t="s">
        <v>166</v>
      </c>
      <c r="D27" s="3" t="s">
        <v>167</v>
      </c>
      <c r="E27" s="3" t="s">
        <v>672</v>
      </c>
      <c r="F27" s="3" t="s">
        <v>646</v>
      </c>
      <c r="H27" s="3" t="s">
        <v>673</v>
      </c>
      <c r="I27" s="3" t="s">
        <v>160</v>
      </c>
    </row>
    <row r="28" spans="1:10">
      <c r="A28" s="3" t="s">
        <v>168</v>
      </c>
      <c r="B28" s="3" t="s">
        <v>165</v>
      </c>
      <c r="C28" s="3" t="s">
        <v>166</v>
      </c>
      <c r="D28" s="3" t="s">
        <v>169</v>
      </c>
      <c r="E28" s="3" t="s">
        <v>672</v>
      </c>
      <c r="F28" s="3" t="s">
        <v>646</v>
      </c>
      <c r="H28" s="3" t="s">
        <v>674</v>
      </c>
      <c r="I28" s="3" t="s">
        <v>162</v>
      </c>
    </row>
    <row r="29" spans="1:10">
      <c r="A29" s="3" t="s">
        <v>170</v>
      </c>
      <c r="B29" s="3" t="s">
        <v>165</v>
      </c>
      <c r="C29" s="3" t="s">
        <v>166</v>
      </c>
      <c r="D29" s="3" t="s">
        <v>166</v>
      </c>
      <c r="E29" s="3" t="s">
        <v>672</v>
      </c>
      <c r="F29" s="3" t="s">
        <v>105</v>
      </c>
      <c r="H29" s="3" t="s">
        <v>675</v>
      </c>
      <c r="I29" s="3" t="s">
        <v>164</v>
      </c>
    </row>
    <row r="30" spans="1:10">
      <c r="A30" s="3" t="s">
        <v>294</v>
      </c>
      <c r="B30" s="3" t="s">
        <v>676</v>
      </c>
      <c r="C30" s="3" t="s">
        <v>676</v>
      </c>
      <c r="D30" s="3" t="s">
        <v>295</v>
      </c>
      <c r="E30" s="3" t="s">
        <v>677</v>
      </c>
      <c r="F30" s="3" t="s">
        <v>646</v>
      </c>
      <c r="H30" s="3" t="s">
        <v>678</v>
      </c>
      <c r="I30" s="3" t="s">
        <v>168</v>
      </c>
    </row>
    <row r="31" spans="1:10">
      <c r="A31" s="3" t="s">
        <v>303</v>
      </c>
      <c r="B31" s="3" t="s">
        <v>676</v>
      </c>
      <c r="C31" s="3" t="s">
        <v>676</v>
      </c>
      <c r="D31" s="3" t="s">
        <v>304</v>
      </c>
      <c r="E31" s="3" t="s">
        <v>677</v>
      </c>
      <c r="F31" s="3" t="s">
        <v>646</v>
      </c>
      <c r="H31" s="3" t="s">
        <v>679</v>
      </c>
      <c r="I31" s="3" t="s">
        <v>170</v>
      </c>
    </row>
    <row r="32" spans="1:10" ht="16">
      <c r="A32" s="3" t="s">
        <v>309</v>
      </c>
      <c r="B32" s="3" t="s">
        <v>676</v>
      </c>
      <c r="C32" s="3" t="s">
        <v>676</v>
      </c>
      <c r="D32" s="3" t="s">
        <v>310</v>
      </c>
      <c r="E32" s="3" t="s">
        <v>677</v>
      </c>
      <c r="F32" s="3" t="s">
        <v>646</v>
      </c>
      <c r="H32" s="22" t="s">
        <v>680</v>
      </c>
      <c r="I32" s="22" t="s">
        <v>122</v>
      </c>
    </row>
    <row r="33" spans="1:6">
      <c r="A33" s="3" t="s">
        <v>213</v>
      </c>
      <c r="B33" s="3" t="s">
        <v>114</v>
      </c>
      <c r="C33" s="3" t="s">
        <v>115</v>
      </c>
      <c r="D33" s="3" t="s">
        <v>631</v>
      </c>
      <c r="E33" s="3" t="s">
        <v>383</v>
      </c>
      <c r="F33" s="3" t="s">
        <v>646</v>
      </c>
    </row>
    <row r="34" spans="1:6">
      <c r="A34" s="3" t="s">
        <v>214</v>
      </c>
      <c r="B34" s="3" t="s">
        <v>114</v>
      </c>
      <c r="C34" s="3" t="s">
        <v>115</v>
      </c>
      <c r="D34" s="3" t="s">
        <v>632</v>
      </c>
      <c r="E34" s="3" t="s">
        <v>383</v>
      </c>
      <c r="F34" s="3" t="s">
        <v>646</v>
      </c>
    </row>
    <row r="35" spans="1:6">
      <c r="A35" s="3" t="s">
        <v>215</v>
      </c>
      <c r="B35" s="3" t="s">
        <v>114</v>
      </c>
      <c r="C35" s="3" t="s">
        <v>115</v>
      </c>
      <c r="D35" s="3" t="s">
        <v>633</v>
      </c>
      <c r="E35" s="3" t="s">
        <v>383</v>
      </c>
      <c r="F35" s="3" t="s">
        <v>646</v>
      </c>
    </row>
    <row r="36" spans="1:6" ht="16">
      <c r="A36" s="22" t="s">
        <v>122</v>
      </c>
      <c r="B36" s="22" t="s">
        <v>114</v>
      </c>
      <c r="C36" s="22" t="s">
        <v>123</v>
      </c>
      <c r="D36" s="22" t="s">
        <v>124</v>
      </c>
      <c r="E36" s="22" t="s">
        <v>398</v>
      </c>
      <c r="F36" s="22" t="s">
        <v>646</v>
      </c>
    </row>
    <row r="38" spans="1:6" ht="24" customHeight="1">
      <c r="A38" s="118" t="s">
        <v>681</v>
      </c>
      <c r="B38" s="118"/>
      <c r="C38" s="118"/>
    </row>
    <row r="39" spans="1:6" ht="30" customHeight="1">
      <c r="A39" s="2" t="s">
        <v>344</v>
      </c>
      <c r="B39" s="2" t="s">
        <v>345</v>
      </c>
      <c r="C39" s="2" t="s">
        <v>224</v>
      </c>
    </row>
    <row r="40" spans="1:6">
      <c r="A40" s="3" t="s">
        <v>228</v>
      </c>
      <c r="B40" s="3" t="s">
        <v>229</v>
      </c>
      <c r="C40" s="3" t="s">
        <v>233</v>
      </c>
    </row>
    <row r="41" spans="1:6">
      <c r="A41" s="3" t="s">
        <v>238</v>
      </c>
      <c r="B41" s="3" t="s">
        <v>239</v>
      </c>
      <c r="C41" s="3" t="s">
        <v>233</v>
      </c>
    </row>
    <row r="42" spans="1:6">
      <c r="A42" s="3" t="s">
        <v>243</v>
      </c>
      <c r="B42" s="3" t="s">
        <v>244</v>
      </c>
      <c r="C42" s="3" t="s">
        <v>246</v>
      </c>
    </row>
    <row r="43" spans="1:6">
      <c r="A43" s="3" t="s">
        <v>248</v>
      </c>
      <c r="B43" s="3" t="s">
        <v>249</v>
      </c>
      <c r="C43" s="3" t="s">
        <v>251</v>
      </c>
    </row>
    <row r="44" spans="1:6">
      <c r="A44" s="3" t="s">
        <v>253</v>
      </c>
      <c r="B44" s="3" t="s">
        <v>254</v>
      </c>
      <c r="C44" s="3" t="s">
        <v>251</v>
      </c>
    </row>
    <row r="45" spans="1:6">
      <c r="A45" s="3" t="s">
        <v>257</v>
      </c>
      <c r="B45" s="3" t="s">
        <v>258</v>
      </c>
      <c r="C45" s="3" t="s">
        <v>251</v>
      </c>
    </row>
    <row r="46" spans="1:6">
      <c r="A46" s="3" t="s">
        <v>261</v>
      </c>
      <c r="B46" s="3" t="s">
        <v>262</v>
      </c>
      <c r="C46" s="3" t="s">
        <v>251</v>
      </c>
    </row>
    <row r="47" spans="1:6">
      <c r="A47" s="3" t="s">
        <v>265</v>
      </c>
      <c r="B47" s="3" t="s">
        <v>266</v>
      </c>
      <c r="C47" s="3" t="s">
        <v>268</v>
      </c>
    </row>
    <row r="48" spans="1:6">
      <c r="A48" s="3" t="s">
        <v>270</v>
      </c>
      <c r="B48" s="3" t="s">
        <v>271</v>
      </c>
      <c r="C48" s="3" t="s">
        <v>273</v>
      </c>
    </row>
    <row r="49" spans="1:3">
      <c r="A49" s="3" t="s">
        <v>275</v>
      </c>
      <c r="B49" s="3" t="s">
        <v>276</v>
      </c>
      <c r="C49" s="3" t="s">
        <v>278</v>
      </c>
    </row>
    <row r="50" spans="1:3">
      <c r="A50" s="3" t="s">
        <v>280</v>
      </c>
      <c r="B50" s="3" t="s">
        <v>281</v>
      </c>
      <c r="C50" s="3" t="s">
        <v>273</v>
      </c>
    </row>
    <row r="51" spans="1:3">
      <c r="A51" s="3" t="s">
        <v>284</v>
      </c>
      <c r="B51" s="3" t="s">
        <v>285</v>
      </c>
      <c r="C51" s="3" t="s">
        <v>287</v>
      </c>
    </row>
    <row r="52" spans="1:3">
      <c r="A52" s="3" t="s">
        <v>290</v>
      </c>
      <c r="B52" s="3" t="s">
        <v>291</v>
      </c>
      <c r="C52" s="3" t="s">
        <v>233</v>
      </c>
    </row>
    <row r="55" spans="1:3" ht="24" customHeight="1">
      <c r="A55" s="118"/>
      <c r="B55" s="118"/>
      <c r="C55" s="118"/>
    </row>
    <row r="56" spans="1:3" ht="46" customHeight="1">
      <c r="A56" s="50" t="s">
        <v>682</v>
      </c>
      <c r="B56" s="50" t="s">
        <v>683</v>
      </c>
      <c r="C56" s="50" t="s">
        <v>199</v>
      </c>
    </row>
    <row r="57" spans="1:3">
      <c r="A57" s="3" t="s">
        <v>684</v>
      </c>
      <c r="B57" s="3" t="s">
        <v>206</v>
      </c>
      <c r="C57" s="3" t="s">
        <v>685</v>
      </c>
    </row>
    <row r="58" spans="1:3">
      <c r="A58" s="3" t="s">
        <v>686</v>
      </c>
      <c r="B58" s="3" t="s">
        <v>207</v>
      </c>
      <c r="C58" s="3" t="s">
        <v>687</v>
      </c>
    </row>
    <row r="59" spans="1:3">
      <c r="A59" s="3" t="s">
        <v>688</v>
      </c>
      <c r="B59" s="3" t="s">
        <v>208</v>
      </c>
      <c r="C59" s="3" t="s">
        <v>689</v>
      </c>
    </row>
    <row r="60" spans="1:3">
      <c r="A60" s="3"/>
      <c r="B60" s="3"/>
      <c r="C60" s="3"/>
    </row>
    <row r="61" spans="1:3">
      <c r="A61" s="3"/>
      <c r="B61" s="3"/>
      <c r="C61" s="3"/>
    </row>
    <row r="62" spans="1:3">
      <c r="A62" s="3"/>
      <c r="B62" s="3"/>
      <c r="C62" s="3"/>
    </row>
    <row r="63" spans="1:3">
      <c r="A63" s="3"/>
      <c r="B63" s="3"/>
      <c r="C63" s="3"/>
    </row>
    <row r="64" spans="1:3">
      <c r="A64" s="3"/>
      <c r="B64" s="3"/>
      <c r="C64" s="3"/>
    </row>
    <row r="65" spans="1:3">
      <c r="A65" s="3"/>
      <c r="B65" s="3"/>
      <c r="C65" s="3"/>
    </row>
    <row r="66" spans="1:3">
      <c r="A66" s="3"/>
      <c r="B66" s="3"/>
      <c r="C66" s="3"/>
    </row>
    <row r="67" spans="1:3">
      <c r="A67" s="3"/>
      <c r="B67" s="3"/>
      <c r="C67" s="3"/>
    </row>
    <row r="68" spans="1:3">
      <c r="A68" s="3"/>
      <c r="B68" s="3"/>
      <c r="C68" s="3"/>
    </row>
    <row r="69" spans="1:3">
      <c r="A69" s="3"/>
      <c r="B69" s="3"/>
      <c r="C69" s="3"/>
    </row>
  </sheetData>
  <sheetProtection sheet="1" objects="1" scenarios="1" formatColumns="0" formatRows="0"/>
  <mergeCells count="7">
    <mergeCell ref="A38:C38"/>
    <mergeCell ref="A55:C55"/>
    <mergeCell ref="A1:Y1"/>
    <mergeCell ref="A2:Y2"/>
    <mergeCell ref="A4:F4"/>
    <mergeCell ref="H4:I4"/>
    <mergeCell ref="L4:X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45"/>
  <sheetViews>
    <sheetView showGridLines="0" workbookViewId="0"/>
  </sheetViews>
  <sheetFormatPr baseColWidth="10" defaultColWidth="8.83203125" defaultRowHeight="14"/>
  <cols>
    <col min="1" max="1" width="24" customWidth="1"/>
    <col min="2" max="2" width="16" customWidth="1"/>
    <col min="3" max="5" width="15" customWidth="1"/>
    <col min="6" max="6" width="17" customWidth="1"/>
    <col min="7" max="7" width="38" customWidth="1"/>
    <col min="8" max="8" width="20" customWidth="1"/>
    <col min="9" max="10" width="16" customWidth="1"/>
    <col min="11" max="11" width="18" customWidth="1"/>
    <col min="12" max="12" width="16" customWidth="1"/>
    <col min="13" max="14" width="18" customWidth="1"/>
    <col min="15" max="15" width="28" customWidth="1"/>
    <col min="16" max="16" width="18" customWidth="1"/>
  </cols>
  <sheetData>
    <row r="1" spans="1:21" ht="34" customHeight="1">
      <c r="A1" s="111" t="s">
        <v>690</v>
      </c>
      <c r="B1" s="111"/>
      <c r="C1" s="111"/>
      <c r="D1" s="111"/>
      <c r="E1" s="111"/>
      <c r="F1" s="111"/>
      <c r="G1" s="111"/>
      <c r="H1" s="111"/>
      <c r="I1" s="111"/>
      <c r="J1" s="111"/>
      <c r="K1" s="111"/>
      <c r="L1" s="111"/>
      <c r="M1" s="111"/>
      <c r="N1" s="111"/>
      <c r="O1" s="111"/>
      <c r="P1" s="111"/>
    </row>
    <row r="2" spans="1:21" ht="28" customHeight="1">
      <c r="A2" s="112" t="s">
        <v>691</v>
      </c>
      <c r="B2" s="112"/>
      <c r="C2" s="112"/>
      <c r="D2" s="112"/>
      <c r="E2" s="112"/>
      <c r="F2" s="112"/>
      <c r="G2" s="112"/>
      <c r="H2" s="112"/>
      <c r="I2" s="112"/>
      <c r="J2" s="112"/>
      <c r="K2" s="112"/>
      <c r="L2" s="112"/>
      <c r="M2" s="112"/>
      <c r="N2" s="112"/>
      <c r="O2" s="112"/>
      <c r="P2" s="112"/>
    </row>
    <row r="4" spans="1:21" ht="46" customHeight="1">
      <c r="A4" s="2" t="s">
        <v>692</v>
      </c>
      <c r="B4" s="2" t="s">
        <v>55</v>
      </c>
      <c r="C4" s="2" t="s">
        <v>58</v>
      </c>
      <c r="D4" s="2" t="s">
        <v>64</v>
      </c>
      <c r="E4" s="2" t="s">
        <v>109</v>
      </c>
      <c r="F4" s="2" t="s">
        <v>108</v>
      </c>
      <c r="G4" s="2" t="s">
        <v>376</v>
      </c>
      <c r="H4" s="2" t="s">
        <v>693</v>
      </c>
      <c r="I4" s="2" t="s">
        <v>227</v>
      </c>
      <c r="J4" s="2" t="s">
        <v>379</v>
      </c>
      <c r="K4" s="2" t="s">
        <v>694</v>
      </c>
      <c r="L4" s="2" t="s">
        <v>695</v>
      </c>
      <c r="M4" s="2" t="s">
        <v>696</v>
      </c>
      <c r="N4" s="2" t="s">
        <v>697</v>
      </c>
      <c r="O4" s="2" t="s">
        <v>380</v>
      </c>
      <c r="P4" s="2" t="s">
        <v>698</v>
      </c>
      <c r="Q4" s="36" t="s">
        <v>699</v>
      </c>
      <c r="R4" s="36" t="s">
        <v>700</v>
      </c>
      <c r="S4" s="36" t="s">
        <v>701</v>
      </c>
      <c r="T4" s="36" t="s">
        <v>576</v>
      </c>
      <c r="U4" s="36" t="s">
        <v>702</v>
      </c>
    </row>
    <row r="5" spans="1:21">
      <c r="A5" s="3">
        <f>'02 Hospice Setup'!$B$5</f>
        <v>0</v>
      </c>
      <c r="B5" s="3" t="str">
        <f>'02 Hospice Setup'!$H$5</f>
        <v>Version 5.1</v>
      </c>
      <c r="C5" s="3" t="str">
        <f>'02 Hospice Setup'!$E$6</f>
        <v>Actual</v>
      </c>
      <c r="D5" s="18">
        <f>'02 Hospice Setup'!$H$7</f>
        <v>0</v>
      </c>
      <c r="E5" s="3" t="s">
        <v>114</v>
      </c>
      <c r="F5" s="3" t="s">
        <v>113</v>
      </c>
      <c r="G5" s="3" t="s">
        <v>567</v>
      </c>
      <c r="H5" s="3" t="s">
        <v>559</v>
      </c>
      <c r="I5" s="19">
        <f>SUMIF('14 Detailed Results'!$A$5:$A$35,F5,'14 Detailed Results'!$C$5:$C$35)</f>
        <v>0</v>
      </c>
      <c r="J5" s="3" t="s">
        <v>61</v>
      </c>
      <c r="K5" s="3"/>
      <c r="L5" s="3"/>
      <c r="M5" s="3"/>
      <c r="N5" s="3" t="str">
        <f t="shared" ref="N5:N13" si="0">IF(I5=0,"Not provided","Complete")</f>
        <v>Not provided</v>
      </c>
      <c r="O5" s="3" t="s">
        <v>703</v>
      </c>
      <c r="P5" s="3" t="s">
        <v>43</v>
      </c>
      <c r="Q5">
        <f>IF('14 Detailed Results'!O5="","",'14 Detailed Results'!O5)</f>
        <v>0</v>
      </c>
      <c r="R5">
        <f>IF('14 Detailed Results'!P5="","",'14 Detailed Results'!P5)</f>
        <v>0</v>
      </c>
      <c r="S5">
        <f>IF('14 Detailed Results'!Q5="","",'14 Detailed Results'!Q5)</f>
        <v>0</v>
      </c>
      <c r="T5" t="str">
        <f>IF('14 Detailed Results'!R5="","",'14 Detailed Results'!R5)</f>
        <v>Admission</v>
      </c>
      <c r="U5" t="str">
        <f>IF('14 Detailed Results'!S5="","",'14 Detailed Results'!S5)</f>
        <v>See site rows</v>
      </c>
    </row>
    <row r="6" spans="1:21">
      <c r="A6" s="3">
        <f>'02 Hospice Setup'!$B$5</f>
        <v>0</v>
      </c>
      <c r="B6" s="3" t="str">
        <f>'02 Hospice Setup'!$H$5</f>
        <v>Version 5.1</v>
      </c>
      <c r="C6" s="3" t="str">
        <f>'02 Hospice Setup'!$E$6</f>
        <v>Actual</v>
      </c>
      <c r="D6" s="18">
        <f>'02 Hospice Setup'!$H$7</f>
        <v>0</v>
      </c>
      <c r="E6" s="3" t="s">
        <v>114</v>
      </c>
      <c r="F6" s="3" t="s">
        <v>113</v>
      </c>
      <c r="G6" s="3" t="s">
        <v>567</v>
      </c>
      <c r="H6" s="3" t="s">
        <v>560</v>
      </c>
      <c r="I6" s="19">
        <f>SUMIF('14 Detailed Results'!$A$5:$A$35,F6,'14 Detailed Results'!$D$5:$D$35)</f>
        <v>0</v>
      </c>
      <c r="J6" s="3" t="s">
        <v>61</v>
      </c>
      <c r="K6" s="3"/>
      <c r="L6" s="3"/>
      <c r="M6" s="3"/>
      <c r="N6" s="3" t="str">
        <f t="shared" si="0"/>
        <v>Not provided</v>
      </c>
      <c r="O6" s="3" t="s">
        <v>703</v>
      </c>
      <c r="P6" s="3" t="s">
        <v>43</v>
      </c>
      <c r="Q6">
        <f>IF('14 Detailed Results'!O5="","",'14 Detailed Results'!O5)</f>
        <v>0</v>
      </c>
      <c r="R6">
        <f>IF('14 Detailed Results'!P5="","",'14 Detailed Results'!P5)</f>
        <v>0</v>
      </c>
      <c r="S6">
        <f>IF('14 Detailed Results'!Q5="","",'14 Detailed Results'!Q5)</f>
        <v>0</v>
      </c>
      <c r="T6" t="str">
        <f>IF('14 Detailed Results'!R5="","",'14 Detailed Results'!R5)</f>
        <v>Admission</v>
      </c>
      <c r="U6" t="str">
        <f>IF('14 Detailed Results'!S5="","",'14 Detailed Results'!S5)</f>
        <v>See site rows</v>
      </c>
    </row>
    <row r="7" spans="1:21">
      <c r="A7" s="3">
        <f>'02 Hospice Setup'!$B$5</f>
        <v>0</v>
      </c>
      <c r="B7" s="3" t="str">
        <f>'02 Hospice Setup'!$H$5</f>
        <v>Version 5.1</v>
      </c>
      <c r="C7" s="3" t="str">
        <f>'02 Hospice Setup'!$E$6</f>
        <v>Actual</v>
      </c>
      <c r="D7" s="18">
        <f>'02 Hospice Setup'!$H$7</f>
        <v>0</v>
      </c>
      <c r="E7" s="3" t="s">
        <v>114</v>
      </c>
      <c r="F7" s="3" t="s">
        <v>113</v>
      </c>
      <c r="G7" s="3" t="s">
        <v>567</v>
      </c>
      <c r="H7" s="3" t="s">
        <v>570</v>
      </c>
      <c r="I7" s="19">
        <f>SUMIF('14 Detailed Results'!$A$5:$A$35,F7,'14 Detailed Results'!$E$5:$E$35)</f>
        <v>0</v>
      </c>
      <c r="J7" s="3" t="s">
        <v>61</v>
      </c>
      <c r="K7" s="3"/>
      <c r="L7" s="3"/>
      <c r="M7" s="3"/>
      <c r="N7" s="3" t="str">
        <f t="shared" si="0"/>
        <v>Not provided</v>
      </c>
      <c r="O7" s="3" t="s">
        <v>703</v>
      </c>
      <c r="P7" s="3" t="s">
        <v>43</v>
      </c>
      <c r="Q7">
        <f>IF('14 Detailed Results'!O5="","",'14 Detailed Results'!O5)</f>
        <v>0</v>
      </c>
      <c r="R7">
        <f>IF('14 Detailed Results'!P5="","",'14 Detailed Results'!P5)</f>
        <v>0</v>
      </c>
      <c r="S7">
        <f>IF('14 Detailed Results'!Q5="","",'14 Detailed Results'!Q5)</f>
        <v>0</v>
      </c>
      <c r="T7" t="str">
        <f>IF('14 Detailed Results'!R5="","",'14 Detailed Results'!R5)</f>
        <v>Admission</v>
      </c>
      <c r="U7" t="str">
        <f>IF('14 Detailed Results'!S5="","",'14 Detailed Results'!S5)</f>
        <v>See site rows</v>
      </c>
    </row>
    <row r="8" spans="1:21">
      <c r="A8" s="3">
        <f>'02 Hospice Setup'!$B$5</f>
        <v>0</v>
      </c>
      <c r="B8" s="3" t="str">
        <f>'02 Hospice Setup'!$H$5</f>
        <v>Version 5.1</v>
      </c>
      <c r="C8" s="3" t="str">
        <f>'02 Hospice Setup'!$E$6</f>
        <v>Actual</v>
      </c>
      <c r="D8" s="18">
        <f>'02 Hospice Setup'!$H$7</f>
        <v>0</v>
      </c>
      <c r="E8" s="3" t="s">
        <v>114</v>
      </c>
      <c r="F8" s="3" t="s">
        <v>113</v>
      </c>
      <c r="G8" s="3" t="s">
        <v>567</v>
      </c>
      <c r="H8" s="3" t="s">
        <v>561</v>
      </c>
      <c r="I8" s="19">
        <f>SUMIF('14 Detailed Results'!$A$5:$A$35,F8,'14 Detailed Results'!$F$5:$F$35)</f>
        <v>0</v>
      </c>
      <c r="J8" s="3" t="s">
        <v>61</v>
      </c>
      <c r="K8" s="3"/>
      <c r="L8" s="3"/>
      <c r="M8" s="3"/>
      <c r="N8" s="3" t="str">
        <f t="shared" si="0"/>
        <v>Not provided</v>
      </c>
      <c r="O8" s="3" t="s">
        <v>703</v>
      </c>
      <c r="P8" s="3" t="s">
        <v>43</v>
      </c>
      <c r="Q8">
        <f>IF('14 Detailed Results'!O5="","",'14 Detailed Results'!O5)</f>
        <v>0</v>
      </c>
      <c r="R8">
        <f>IF('14 Detailed Results'!P5="","",'14 Detailed Results'!P5)</f>
        <v>0</v>
      </c>
      <c r="S8">
        <f>IF('14 Detailed Results'!Q5="","",'14 Detailed Results'!Q5)</f>
        <v>0</v>
      </c>
      <c r="T8" t="str">
        <f>IF('14 Detailed Results'!R5="","",'14 Detailed Results'!R5)</f>
        <v>Admission</v>
      </c>
      <c r="U8" t="str">
        <f>IF('14 Detailed Results'!S5="","",'14 Detailed Results'!S5)</f>
        <v>See site rows</v>
      </c>
    </row>
    <row r="9" spans="1:21">
      <c r="A9" s="3">
        <f>'02 Hospice Setup'!$B$5</f>
        <v>0</v>
      </c>
      <c r="B9" s="3" t="str">
        <f>'02 Hospice Setup'!$H$5</f>
        <v>Version 5.1</v>
      </c>
      <c r="C9" s="3" t="str">
        <f>'02 Hospice Setup'!$E$6</f>
        <v>Actual</v>
      </c>
      <c r="D9" s="18">
        <f>'02 Hospice Setup'!$H$7</f>
        <v>0</v>
      </c>
      <c r="E9" s="3" t="s">
        <v>114</v>
      </c>
      <c r="F9" s="3" t="s">
        <v>113</v>
      </c>
      <c r="G9" s="3" t="s">
        <v>567</v>
      </c>
      <c r="H9" s="3" t="s">
        <v>382</v>
      </c>
      <c r="I9" s="19">
        <f>SUMIF('14 Detailed Results'!$A$5:$A$35,F9,'14 Detailed Results'!$G$5:$G$35)</f>
        <v>0</v>
      </c>
      <c r="J9" s="3" t="s">
        <v>383</v>
      </c>
      <c r="K9" s="3"/>
      <c r="L9" s="3"/>
      <c r="M9" s="3"/>
      <c r="N9" s="3" t="str">
        <f t="shared" si="0"/>
        <v>Not provided</v>
      </c>
      <c r="O9" s="3" t="s">
        <v>703</v>
      </c>
      <c r="P9" s="3" t="s">
        <v>43</v>
      </c>
      <c r="Q9">
        <f>IF('14 Detailed Results'!O5="","",'14 Detailed Results'!O5)</f>
        <v>0</v>
      </c>
      <c r="R9">
        <f>IF('14 Detailed Results'!P5="","",'14 Detailed Results'!P5)</f>
        <v>0</v>
      </c>
      <c r="S9">
        <f>IF('14 Detailed Results'!Q5="","",'14 Detailed Results'!Q5)</f>
        <v>0</v>
      </c>
      <c r="T9" t="str">
        <f>IF('14 Detailed Results'!R5="","",'14 Detailed Results'!R5)</f>
        <v>Admission</v>
      </c>
      <c r="U9" t="str">
        <f>IF('14 Detailed Results'!S5="","",'14 Detailed Results'!S5)</f>
        <v>See site rows</v>
      </c>
    </row>
    <row r="10" spans="1:21">
      <c r="A10" s="3">
        <f>'02 Hospice Setup'!$B$5</f>
        <v>0</v>
      </c>
      <c r="B10" s="3" t="str">
        <f>'02 Hospice Setup'!$H$5</f>
        <v>Version 5.1</v>
      </c>
      <c r="C10" s="3" t="str">
        <f>'02 Hospice Setup'!$E$6</f>
        <v>Actual</v>
      </c>
      <c r="D10" s="18">
        <f>'02 Hospice Setup'!$H$7</f>
        <v>0</v>
      </c>
      <c r="E10" s="3" t="s">
        <v>114</v>
      </c>
      <c r="F10" s="3" t="s">
        <v>113</v>
      </c>
      <c r="G10" s="3" t="s">
        <v>567</v>
      </c>
      <c r="H10" s="3" t="s">
        <v>386</v>
      </c>
      <c r="I10" s="19">
        <f>SUMIF('14 Detailed Results'!$A$5:$A$35,F10,'14 Detailed Results'!$H$5:$H$35)</f>
        <v>0</v>
      </c>
      <c r="J10" s="3" t="s">
        <v>383</v>
      </c>
      <c r="K10" s="3"/>
      <c r="L10" s="3"/>
      <c r="M10" s="3"/>
      <c r="N10" s="3" t="str">
        <f t="shared" si="0"/>
        <v>Not provided</v>
      </c>
      <c r="O10" s="3" t="s">
        <v>703</v>
      </c>
      <c r="P10" s="3" t="s">
        <v>43</v>
      </c>
      <c r="Q10">
        <f>IF('14 Detailed Results'!O5="","",'14 Detailed Results'!O5)</f>
        <v>0</v>
      </c>
      <c r="R10">
        <f>IF('14 Detailed Results'!P5="","",'14 Detailed Results'!P5)</f>
        <v>0</v>
      </c>
      <c r="S10">
        <f>IF('14 Detailed Results'!Q5="","",'14 Detailed Results'!Q5)</f>
        <v>0</v>
      </c>
      <c r="T10" t="str">
        <f>IF('14 Detailed Results'!R5="","",'14 Detailed Results'!R5)</f>
        <v>Admission</v>
      </c>
      <c r="U10" t="str">
        <f>IF('14 Detailed Results'!S5="","",'14 Detailed Results'!S5)</f>
        <v>See site rows</v>
      </c>
    </row>
    <row r="11" spans="1:21">
      <c r="A11" s="3">
        <f>'02 Hospice Setup'!$B$5</f>
        <v>0</v>
      </c>
      <c r="B11" s="3" t="str">
        <f>'02 Hospice Setup'!$H$5</f>
        <v>Version 5.1</v>
      </c>
      <c r="C11" s="3" t="str">
        <f>'02 Hospice Setup'!$E$6</f>
        <v>Actual</v>
      </c>
      <c r="D11" s="18">
        <f>'02 Hospice Setup'!$H$7</f>
        <v>0</v>
      </c>
      <c r="E11" s="3" t="s">
        <v>114</v>
      </c>
      <c r="F11" s="3" t="s">
        <v>113</v>
      </c>
      <c r="G11" s="3" t="s">
        <v>567</v>
      </c>
      <c r="H11" s="3" t="s">
        <v>704</v>
      </c>
      <c r="I11" s="19">
        <f>SUMIF('14 Detailed Results'!$A$5:$A$35,F11,'14 Detailed Results'!$I$5:$I$35)</f>
        <v>0</v>
      </c>
      <c r="J11" s="3" t="s">
        <v>61</v>
      </c>
      <c r="K11" s="3"/>
      <c r="L11" s="3"/>
      <c r="M11" s="3"/>
      <c r="N11" s="3" t="str">
        <f t="shared" si="0"/>
        <v>Not provided</v>
      </c>
      <c r="O11" s="3" t="s">
        <v>703</v>
      </c>
      <c r="P11" s="3" t="s">
        <v>43</v>
      </c>
      <c r="Q11">
        <f>IF('14 Detailed Results'!O5="","",'14 Detailed Results'!O5)</f>
        <v>0</v>
      </c>
      <c r="R11">
        <f>IF('14 Detailed Results'!P5="","",'14 Detailed Results'!P5)</f>
        <v>0</v>
      </c>
      <c r="S11">
        <f>IF('14 Detailed Results'!Q5="","",'14 Detailed Results'!Q5)</f>
        <v>0</v>
      </c>
      <c r="T11" t="str">
        <f>IF('14 Detailed Results'!R5="","",'14 Detailed Results'!R5)</f>
        <v>Admission</v>
      </c>
      <c r="U11" t="str">
        <f>IF('14 Detailed Results'!S5="","",'14 Detailed Results'!S5)</f>
        <v>See site rows</v>
      </c>
    </row>
    <row r="12" spans="1:21">
      <c r="A12" s="3">
        <f>'02 Hospice Setup'!$B$5</f>
        <v>0</v>
      </c>
      <c r="B12" s="3" t="str">
        <f>'02 Hospice Setup'!$H$5</f>
        <v>Version 5.1</v>
      </c>
      <c r="C12" s="3" t="str">
        <f>'02 Hospice Setup'!$E$6</f>
        <v>Actual</v>
      </c>
      <c r="D12" s="18">
        <f>'02 Hospice Setup'!$H$7</f>
        <v>0</v>
      </c>
      <c r="E12" s="3" t="s">
        <v>114</v>
      </c>
      <c r="F12" s="3" t="s">
        <v>113</v>
      </c>
      <c r="G12" s="3" t="s">
        <v>567</v>
      </c>
      <c r="H12" s="3" t="s">
        <v>705</v>
      </c>
      <c r="I12" s="19">
        <f>SUMIF('14 Detailed Results'!$A$5:$A$35,F12,'14 Detailed Results'!$J$5:$J$35)</f>
        <v>0</v>
      </c>
      <c r="J12" s="3" t="s">
        <v>61</v>
      </c>
      <c r="K12" s="3"/>
      <c r="L12" s="3"/>
      <c r="M12" s="3"/>
      <c r="N12" s="3" t="str">
        <f t="shared" si="0"/>
        <v>Not provided</v>
      </c>
      <c r="O12" s="3" t="s">
        <v>703</v>
      </c>
      <c r="P12" s="3" t="s">
        <v>43</v>
      </c>
      <c r="Q12">
        <f>IF('14 Detailed Results'!O5="","",'14 Detailed Results'!O5)</f>
        <v>0</v>
      </c>
      <c r="R12">
        <f>IF('14 Detailed Results'!P5="","",'14 Detailed Results'!P5)</f>
        <v>0</v>
      </c>
      <c r="S12">
        <f>IF('14 Detailed Results'!Q5="","",'14 Detailed Results'!Q5)</f>
        <v>0</v>
      </c>
      <c r="T12" t="str">
        <f>IF('14 Detailed Results'!R5="","",'14 Detailed Results'!R5)</f>
        <v>Admission</v>
      </c>
      <c r="U12" t="str">
        <f>IF('14 Detailed Results'!S5="","",'14 Detailed Results'!S5)</f>
        <v>See site rows</v>
      </c>
    </row>
    <row r="13" spans="1:21">
      <c r="A13" s="3">
        <f>'02 Hospice Setup'!$B$5</f>
        <v>0</v>
      </c>
      <c r="B13" s="3" t="str">
        <f>'02 Hospice Setup'!$H$5</f>
        <v>Version 5.1</v>
      </c>
      <c r="C13" s="3" t="str">
        <f>'02 Hospice Setup'!$E$6</f>
        <v>Actual</v>
      </c>
      <c r="D13" s="18">
        <f>'02 Hospice Setup'!$H$7</f>
        <v>0</v>
      </c>
      <c r="E13" s="3" t="s">
        <v>114</v>
      </c>
      <c r="F13" s="3" t="s">
        <v>113</v>
      </c>
      <c r="G13" s="3" t="s">
        <v>567</v>
      </c>
      <c r="H13" s="3" t="s">
        <v>564</v>
      </c>
      <c r="I13" s="19">
        <f>SUMIF('14 Detailed Results'!$A$5:$A$35,F13,'14 Detailed Results'!$K$5:$K$35)</f>
        <v>0</v>
      </c>
      <c r="J13" s="3" t="s">
        <v>706</v>
      </c>
      <c r="K13" s="3"/>
      <c r="L13" s="3"/>
      <c r="M13" s="3"/>
      <c r="N13" s="3" t="str">
        <f t="shared" si="0"/>
        <v>Not provided</v>
      </c>
      <c r="O13" s="3" t="s">
        <v>703</v>
      </c>
      <c r="P13" s="3" t="s">
        <v>43</v>
      </c>
      <c r="Q13">
        <f>IF('14 Detailed Results'!O5="","",'14 Detailed Results'!O5)</f>
        <v>0</v>
      </c>
      <c r="R13">
        <f>IF('14 Detailed Results'!P5="","",'14 Detailed Results'!P5)</f>
        <v>0</v>
      </c>
      <c r="S13">
        <f>IF('14 Detailed Results'!Q5="","",'14 Detailed Results'!Q5)</f>
        <v>0</v>
      </c>
      <c r="T13" t="str">
        <f>IF('14 Detailed Results'!R5="","",'14 Detailed Results'!R5)</f>
        <v>Admission</v>
      </c>
      <c r="U13" t="str">
        <f>IF('14 Detailed Results'!S5="","",'14 Detailed Results'!S5)</f>
        <v>See site rows</v>
      </c>
    </row>
    <row r="14" spans="1:21">
      <c r="A14" s="3">
        <f>'02 Hospice Setup'!$B$5</f>
        <v>0</v>
      </c>
      <c r="B14" s="3" t="str">
        <f>'02 Hospice Setup'!$H$5</f>
        <v>Version 5.1</v>
      </c>
      <c r="C14" s="3" t="str">
        <f>'02 Hospice Setup'!$E$6</f>
        <v>Actual</v>
      </c>
      <c r="D14" s="18">
        <f>'02 Hospice Setup'!$H$7</f>
        <v>0</v>
      </c>
      <c r="E14" s="3" t="s">
        <v>114</v>
      </c>
      <c r="F14" s="3" t="s">
        <v>113</v>
      </c>
      <c r="G14" s="3" t="s">
        <v>567</v>
      </c>
      <c r="H14" s="3" t="s">
        <v>387</v>
      </c>
      <c r="I14" s="19">
        <f>SUMIF('14 Detailed Results'!$A$5:$A$35,F14,'14 Detailed Results'!$L$5:$L$35)</f>
        <v>0</v>
      </c>
      <c r="J14" s="3" t="s">
        <v>389</v>
      </c>
      <c r="K14" s="3"/>
      <c r="L14" s="3"/>
      <c r="M14" s="3"/>
      <c r="N14" s="3" t="str">
        <f>IF(SUMIF('14 Detailed Results'!$A$5:$A$35,F14,'14 Detailed Results'!$F$5:$F$35)=0,"Not provided",IF(I14=0,"Not available","Complete"))</f>
        <v>Not provided</v>
      </c>
      <c r="O14" s="3" t="s">
        <v>703</v>
      </c>
      <c r="P14" s="3" t="s">
        <v>43</v>
      </c>
      <c r="Q14">
        <f>IF('14 Detailed Results'!O5="","",'14 Detailed Results'!O5)</f>
        <v>0</v>
      </c>
      <c r="R14">
        <f>IF('14 Detailed Results'!P5="","",'14 Detailed Results'!P5)</f>
        <v>0</v>
      </c>
      <c r="S14">
        <f>IF('14 Detailed Results'!Q5="","",'14 Detailed Results'!Q5)</f>
        <v>0</v>
      </c>
      <c r="T14" t="str">
        <f>IF('14 Detailed Results'!R5="","",'14 Detailed Results'!R5)</f>
        <v>Admission</v>
      </c>
      <c r="U14" t="str">
        <f>IF('14 Detailed Results'!S5="","",'14 Detailed Results'!S5)</f>
        <v>See site rows</v>
      </c>
    </row>
    <row r="15" spans="1:21">
      <c r="A15" s="3">
        <f>'02 Hospice Setup'!$B$5</f>
        <v>0</v>
      </c>
      <c r="B15" s="3" t="str">
        <f>'02 Hospice Setup'!$H$5</f>
        <v>Version 5.1</v>
      </c>
      <c r="C15" s="3" t="str">
        <f>'02 Hospice Setup'!$E$6</f>
        <v>Actual</v>
      </c>
      <c r="D15" s="18">
        <f>'02 Hospice Setup'!$H$7</f>
        <v>0</v>
      </c>
      <c r="E15" s="3" t="s">
        <v>114</v>
      </c>
      <c r="F15" s="3" t="s">
        <v>113</v>
      </c>
      <c r="G15" s="3" t="s">
        <v>567</v>
      </c>
      <c r="H15" s="3" t="s">
        <v>707</v>
      </c>
      <c r="I15" s="19">
        <f>SUMIF('14 Detailed Results'!$A$5:$A$35,F15,'14 Detailed Results'!$M$5:$M$35)</f>
        <v>0</v>
      </c>
      <c r="J15" s="3" t="s">
        <v>61</v>
      </c>
      <c r="K15" s="3"/>
      <c r="L15" s="3"/>
      <c r="M15" s="3"/>
      <c r="N15" s="3" t="str">
        <f>IF(SUMIF('14 Detailed Results'!$A$5:$A$35,F15,'14 Detailed Results'!$F$5:$F$35)=0,"Not provided",IF(I15=0,"Not available","Complete"))</f>
        <v>Not provided</v>
      </c>
      <c r="O15" s="3" t="s">
        <v>703</v>
      </c>
      <c r="P15" s="3" t="s">
        <v>43</v>
      </c>
      <c r="Q15">
        <f>IF('14 Detailed Results'!O5="","",'14 Detailed Results'!O5)</f>
        <v>0</v>
      </c>
      <c r="R15">
        <f>IF('14 Detailed Results'!P5="","",'14 Detailed Results'!P5)</f>
        <v>0</v>
      </c>
      <c r="S15">
        <f>IF('14 Detailed Results'!Q5="","",'14 Detailed Results'!Q5)</f>
        <v>0</v>
      </c>
      <c r="T15" t="str">
        <f>IF('14 Detailed Results'!R5="","",'14 Detailed Results'!R5)</f>
        <v>Admission</v>
      </c>
      <c r="U15" t="str">
        <f>IF('14 Detailed Results'!S5="","",'14 Detailed Results'!S5)</f>
        <v>See site rows</v>
      </c>
    </row>
    <row r="16" spans="1:21">
      <c r="A16" s="3">
        <f>'02 Hospice Setup'!$B$5</f>
        <v>0</v>
      </c>
      <c r="B16" s="3" t="str">
        <f>'02 Hospice Setup'!$H$5</f>
        <v>Version 5.1</v>
      </c>
      <c r="C16" s="3" t="str">
        <f>'02 Hospice Setup'!$E$6</f>
        <v>Actual</v>
      </c>
      <c r="D16" s="18">
        <f>'02 Hospice Setup'!$H$7</f>
        <v>0</v>
      </c>
      <c r="E16" s="3" t="s">
        <v>114</v>
      </c>
      <c r="F16" s="3" t="s">
        <v>213</v>
      </c>
      <c r="G16" s="3" t="s">
        <v>631</v>
      </c>
      <c r="H16" s="3" t="s">
        <v>559</v>
      </c>
      <c r="I16" s="19">
        <f>SUMIF('14 Detailed Results'!$A$5:$A$35,F16,'14 Detailed Results'!$C$5:$C$35)</f>
        <v>0</v>
      </c>
      <c r="J16" s="3" t="s">
        <v>61</v>
      </c>
      <c r="K16" s="3"/>
      <c r="L16" s="3"/>
      <c r="M16" s="3"/>
      <c r="N16" s="3" t="str">
        <f t="shared" ref="N16:N24" si="1">IF(I16=0,"Not provided","Complete")</f>
        <v>Not provided</v>
      </c>
      <c r="O16" s="3" t="s">
        <v>703</v>
      </c>
      <c r="P16" s="3" t="s">
        <v>43</v>
      </c>
      <c r="Q16">
        <f>IF('14 Detailed Results'!O6="","",'14 Detailed Results'!O6)</f>
        <v>0</v>
      </c>
      <c r="R16">
        <f>IF('14 Detailed Results'!P6="","",'14 Detailed Results'!P6)</f>
        <v>0</v>
      </c>
      <c r="S16">
        <f>IF('14 Detailed Results'!Q6="","",'14 Detailed Results'!Q6)</f>
        <v>0</v>
      </c>
      <c r="T16" t="str">
        <f>IF('14 Detailed Results'!R6="","",'14 Detailed Results'!R6)</f>
        <v>Admission</v>
      </c>
      <c r="U16" t="str">
        <f>IF('14 Detailed Results'!S6="","",'14 Detailed Results'!S6)</f>
        <v/>
      </c>
    </row>
    <row r="17" spans="1:21">
      <c r="A17" s="3">
        <f>'02 Hospice Setup'!$B$5</f>
        <v>0</v>
      </c>
      <c r="B17" s="3" t="str">
        <f>'02 Hospice Setup'!$H$5</f>
        <v>Version 5.1</v>
      </c>
      <c r="C17" s="3" t="str">
        <f>'02 Hospice Setup'!$E$6</f>
        <v>Actual</v>
      </c>
      <c r="D17" s="18">
        <f>'02 Hospice Setup'!$H$7</f>
        <v>0</v>
      </c>
      <c r="E17" s="3" t="s">
        <v>114</v>
      </c>
      <c r="F17" s="3" t="s">
        <v>213</v>
      </c>
      <c r="G17" s="3" t="s">
        <v>631</v>
      </c>
      <c r="H17" s="3" t="s">
        <v>560</v>
      </c>
      <c r="I17" s="19">
        <f>SUMIF('14 Detailed Results'!$A$5:$A$35,F17,'14 Detailed Results'!$D$5:$D$35)</f>
        <v>0</v>
      </c>
      <c r="J17" s="3" t="s">
        <v>61</v>
      </c>
      <c r="K17" s="3"/>
      <c r="L17" s="3"/>
      <c r="M17" s="3"/>
      <c r="N17" s="3" t="str">
        <f t="shared" si="1"/>
        <v>Not provided</v>
      </c>
      <c r="O17" s="3" t="s">
        <v>703</v>
      </c>
      <c r="P17" s="3" t="s">
        <v>43</v>
      </c>
      <c r="Q17">
        <f>IF('14 Detailed Results'!O6="","",'14 Detailed Results'!O6)</f>
        <v>0</v>
      </c>
      <c r="R17">
        <f>IF('14 Detailed Results'!P6="","",'14 Detailed Results'!P6)</f>
        <v>0</v>
      </c>
      <c r="S17">
        <f>IF('14 Detailed Results'!Q6="","",'14 Detailed Results'!Q6)</f>
        <v>0</v>
      </c>
      <c r="T17" t="str">
        <f>IF('14 Detailed Results'!R6="","",'14 Detailed Results'!R6)</f>
        <v>Admission</v>
      </c>
      <c r="U17" t="str">
        <f>IF('14 Detailed Results'!S6="","",'14 Detailed Results'!S6)</f>
        <v/>
      </c>
    </row>
    <row r="18" spans="1:21">
      <c r="A18" s="3">
        <f>'02 Hospice Setup'!$B$5</f>
        <v>0</v>
      </c>
      <c r="B18" s="3" t="str">
        <f>'02 Hospice Setup'!$H$5</f>
        <v>Version 5.1</v>
      </c>
      <c r="C18" s="3" t="str">
        <f>'02 Hospice Setup'!$E$6</f>
        <v>Actual</v>
      </c>
      <c r="D18" s="18">
        <f>'02 Hospice Setup'!$H$7</f>
        <v>0</v>
      </c>
      <c r="E18" s="3" t="s">
        <v>114</v>
      </c>
      <c r="F18" s="3" t="s">
        <v>213</v>
      </c>
      <c r="G18" s="3" t="s">
        <v>631</v>
      </c>
      <c r="H18" s="3" t="s">
        <v>570</v>
      </c>
      <c r="I18" s="19">
        <f>SUMIF('14 Detailed Results'!$A$5:$A$35,F18,'14 Detailed Results'!$E$5:$E$35)</f>
        <v>0</v>
      </c>
      <c r="J18" s="3" t="s">
        <v>61</v>
      </c>
      <c r="K18" s="3"/>
      <c r="L18" s="3"/>
      <c r="M18" s="3"/>
      <c r="N18" s="3" t="str">
        <f t="shared" si="1"/>
        <v>Not provided</v>
      </c>
      <c r="O18" s="3" t="s">
        <v>703</v>
      </c>
      <c r="P18" s="3" t="s">
        <v>43</v>
      </c>
      <c r="Q18">
        <f>IF('14 Detailed Results'!O6="","",'14 Detailed Results'!O6)</f>
        <v>0</v>
      </c>
      <c r="R18">
        <f>IF('14 Detailed Results'!P6="","",'14 Detailed Results'!P6)</f>
        <v>0</v>
      </c>
      <c r="S18">
        <f>IF('14 Detailed Results'!Q6="","",'14 Detailed Results'!Q6)</f>
        <v>0</v>
      </c>
      <c r="T18" t="str">
        <f>IF('14 Detailed Results'!R6="","",'14 Detailed Results'!R6)</f>
        <v>Admission</v>
      </c>
      <c r="U18" t="str">
        <f>IF('14 Detailed Results'!S6="","",'14 Detailed Results'!S6)</f>
        <v/>
      </c>
    </row>
    <row r="19" spans="1:21">
      <c r="A19" s="3">
        <f>'02 Hospice Setup'!$B$5</f>
        <v>0</v>
      </c>
      <c r="B19" s="3" t="str">
        <f>'02 Hospice Setup'!$H$5</f>
        <v>Version 5.1</v>
      </c>
      <c r="C19" s="3" t="str">
        <f>'02 Hospice Setup'!$E$6</f>
        <v>Actual</v>
      </c>
      <c r="D19" s="18">
        <f>'02 Hospice Setup'!$H$7</f>
        <v>0</v>
      </c>
      <c r="E19" s="3" t="s">
        <v>114</v>
      </c>
      <c r="F19" s="3" t="s">
        <v>213</v>
      </c>
      <c r="G19" s="3" t="s">
        <v>631</v>
      </c>
      <c r="H19" s="3" t="s">
        <v>561</v>
      </c>
      <c r="I19" s="19">
        <f>SUMIF('14 Detailed Results'!$A$5:$A$35,F19,'14 Detailed Results'!$F$5:$F$35)</f>
        <v>0</v>
      </c>
      <c r="J19" s="3" t="s">
        <v>61</v>
      </c>
      <c r="K19" s="3"/>
      <c r="L19" s="3"/>
      <c r="M19" s="3"/>
      <c r="N19" s="3" t="str">
        <f t="shared" si="1"/>
        <v>Not provided</v>
      </c>
      <c r="O19" s="3" t="s">
        <v>703</v>
      </c>
      <c r="P19" s="3" t="s">
        <v>43</v>
      </c>
      <c r="Q19">
        <f>IF('14 Detailed Results'!O6="","",'14 Detailed Results'!O6)</f>
        <v>0</v>
      </c>
      <c r="R19">
        <f>IF('14 Detailed Results'!P6="","",'14 Detailed Results'!P6)</f>
        <v>0</v>
      </c>
      <c r="S19">
        <f>IF('14 Detailed Results'!Q6="","",'14 Detailed Results'!Q6)</f>
        <v>0</v>
      </c>
      <c r="T19" t="str">
        <f>IF('14 Detailed Results'!R6="","",'14 Detailed Results'!R6)</f>
        <v>Admission</v>
      </c>
      <c r="U19" t="str">
        <f>IF('14 Detailed Results'!S6="","",'14 Detailed Results'!S6)</f>
        <v/>
      </c>
    </row>
    <row r="20" spans="1:21">
      <c r="A20" s="3">
        <f>'02 Hospice Setup'!$B$5</f>
        <v>0</v>
      </c>
      <c r="B20" s="3" t="str">
        <f>'02 Hospice Setup'!$H$5</f>
        <v>Version 5.1</v>
      </c>
      <c r="C20" s="3" t="str">
        <f>'02 Hospice Setup'!$E$6</f>
        <v>Actual</v>
      </c>
      <c r="D20" s="18">
        <f>'02 Hospice Setup'!$H$7</f>
        <v>0</v>
      </c>
      <c r="E20" s="3" t="s">
        <v>114</v>
      </c>
      <c r="F20" s="3" t="s">
        <v>213</v>
      </c>
      <c r="G20" s="3" t="s">
        <v>631</v>
      </c>
      <c r="H20" s="3" t="s">
        <v>382</v>
      </c>
      <c r="I20" s="19">
        <f>SUMIF('14 Detailed Results'!$A$5:$A$35,F20,'14 Detailed Results'!$G$5:$G$35)</f>
        <v>0</v>
      </c>
      <c r="J20" s="3" t="s">
        <v>383</v>
      </c>
      <c r="K20" s="3"/>
      <c r="L20" s="3"/>
      <c r="M20" s="3"/>
      <c r="N20" s="3" t="str">
        <f t="shared" si="1"/>
        <v>Not provided</v>
      </c>
      <c r="O20" s="3" t="s">
        <v>703</v>
      </c>
      <c r="P20" s="3" t="s">
        <v>43</v>
      </c>
      <c r="Q20">
        <f>IF('14 Detailed Results'!O6="","",'14 Detailed Results'!O6)</f>
        <v>0</v>
      </c>
      <c r="R20">
        <f>IF('14 Detailed Results'!P6="","",'14 Detailed Results'!P6)</f>
        <v>0</v>
      </c>
      <c r="S20">
        <f>IF('14 Detailed Results'!Q6="","",'14 Detailed Results'!Q6)</f>
        <v>0</v>
      </c>
      <c r="T20" t="str">
        <f>IF('14 Detailed Results'!R6="","",'14 Detailed Results'!R6)</f>
        <v>Admission</v>
      </c>
      <c r="U20" t="str">
        <f>IF('14 Detailed Results'!S6="","",'14 Detailed Results'!S6)</f>
        <v/>
      </c>
    </row>
    <row r="21" spans="1:21">
      <c r="A21" s="3">
        <f>'02 Hospice Setup'!$B$5</f>
        <v>0</v>
      </c>
      <c r="B21" s="3" t="str">
        <f>'02 Hospice Setup'!$H$5</f>
        <v>Version 5.1</v>
      </c>
      <c r="C21" s="3" t="str">
        <f>'02 Hospice Setup'!$E$6</f>
        <v>Actual</v>
      </c>
      <c r="D21" s="18">
        <f>'02 Hospice Setup'!$H$7</f>
        <v>0</v>
      </c>
      <c r="E21" s="3" t="s">
        <v>114</v>
      </c>
      <c r="F21" s="3" t="s">
        <v>213</v>
      </c>
      <c r="G21" s="3" t="s">
        <v>631</v>
      </c>
      <c r="H21" s="3" t="s">
        <v>386</v>
      </c>
      <c r="I21" s="19">
        <f>SUMIF('14 Detailed Results'!$A$5:$A$35,F21,'14 Detailed Results'!$H$5:$H$35)</f>
        <v>0</v>
      </c>
      <c r="J21" s="3" t="s">
        <v>383</v>
      </c>
      <c r="K21" s="3"/>
      <c r="L21" s="3"/>
      <c r="M21" s="3"/>
      <c r="N21" s="3" t="str">
        <f t="shared" si="1"/>
        <v>Not provided</v>
      </c>
      <c r="O21" s="3" t="s">
        <v>703</v>
      </c>
      <c r="P21" s="3" t="s">
        <v>43</v>
      </c>
      <c r="Q21">
        <f>IF('14 Detailed Results'!O6="","",'14 Detailed Results'!O6)</f>
        <v>0</v>
      </c>
      <c r="R21">
        <f>IF('14 Detailed Results'!P6="","",'14 Detailed Results'!P6)</f>
        <v>0</v>
      </c>
      <c r="S21">
        <f>IF('14 Detailed Results'!Q6="","",'14 Detailed Results'!Q6)</f>
        <v>0</v>
      </c>
      <c r="T21" t="str">
        <f>IF('14 Detailed Results'!R6="","",'14 Detailed Results'!R6)</f>
        <v>Admission</v>
      </c>
      <c r="U21" t="str">
        <f>IF('14 Detailed Results'!S6="","",'14 Detailed Results'!S6)</f>
        <v/>
      </c>
    </row>
    <row r="22" spans="1:21">
      <c r="A22" s="3">
        <f>'02 Hospice Setup'!$B$5</f>
        <v>0</v>
      </c>
      <c r="B22" s="3" t="str">
        <f>'02 Hospice Setup'!$H$5</f>
        <v>Version 5.1</v>
      </c>
      <c r="C22" s="3" t="str">
        <f>'02 Hospice Setup'!$E$6</f>
        <v>Actual</v>
      </c>
      <c r="D22" s="18">
        <f>'02 Hospice Setup'!$H$7</f>
        <v>0</v>
      </c>
      <c r="E22" s="3" t="s">
        <v>114</v>
      </c>
      <c r="F22" s="3" t="s">
        <v>213</v>
      </c>
      <c r="G22" s="3" t="s">
        <v>631</v>
      </c>
      <c r="H22" s="3" t="s">
        <v>704</v>
      </c>
      <c r="I22" s="19">
        <f>SUMIF('14 Detailed Results'!$A$5:$A$35,F22,'14 Detailed Results'!$I$5:$I$35)</f>
        <v>0</v>
      </c>
      <c r="J22" s="3" t="s">
        <v>61</v>
      </c>
      <c r="K22" s="3"/>
      <c r="L22" s="3"/>
      <c r="M22" s="3"/>
      <c r="N22" s="3" t="str">
        <f t="shared" si="1"/>
        <v>Not provided</v>
      </c>
      <c r="O22" s="3" t="s">
        <v>703</v>
      </c>
      <c r="P22" s="3" t="s">
        <v>43</v>
      </c>
      <c r="Q22">
        <f>IF('14 Detailed Results'!O6="","",'14 Detailed Results'!O6)</f>
        <v>0</v>
      </c>
      <c r="R22">
        <f>IF('14 Detailed Results'!P6="","",'14 Detailed Results'!P6)</f>
        <v>0</v>
      </c>
      <c r="S22">
        <f>IF('14 Detailed Results'!Q6="","",'14 Detailed Results'!Q6)</f>
        <v>0</v>
      </c>
      <c r="T22" t="str">
        <f>IF('14 Detailed Results'!R6="","",'14 Detailed Results'!R6)</f>
        <v>Admission</v>
      </c>
      <c r="U22" t="str">
        <f>IF('14 Detailed Results'!S6="","",'14 Detailed Results'!S6)</f>
        <v/>
      </c>
    </row>
    <row r="23" spans="1:21">
      <c r="A23" s="3">
        <f>'02 Hospice Setup'!$B$5</f>
        <v>0</v>
      </c>
      <c r="B23" s="3" t="str">
        <f>'02 Hospice Setup'!$H$5</f>
        <v>Version 5.1</v>
      </c>
      <c r="C23" s="3" t="str">
        <f>'02 Hospice Setup'!$E$6</f>
        <v>Actual</v>
      </c>
      <c r="D23" s="18">
        <f>'02 Hospice Setup'!$H$7</f>
        <v>0</v>
      </c>
      <c r="E23" s="3" t="s">
        <v>114</v>
      </c>
      <c r="F23" s="3" t="s">
        <v>213</v>
      </c>
      <c r="G23" s="3" t="s">
        <v>631</v>
      </c>
      <c r="H23" s="3" t="s">
        <v>705</v>
      </c>
      <c r="I23" s="19">
        <f>SUMIF('14 Detailed Results'!$A$5:$A$35,F23,'14 Detailed Results'!$J$5:$J$35)</f>
        <v>0</v>
      </c>
      <c r="J23" s="3" t="s">
        <v>61</v>
      </c>
      <c r="K23" s="3"/>
      <c r="L23" s="3"/>
      <c r="M23" s="3"/>
      <c r="N23" s="3" t="str">
        <f t="shared" si="1"/>
        <v>Not provided</v>
      </c>
      <c r="O23" s="3" t="s">
        <v>703</v>
      </c>
      <c r="P23" s="3" t="s">
        <v>43</v>
      </c>
      <c r="Q23">
        <f>IF('14 Detailed Results'!O6="","",'14 Detailed Results'!O6)</f>
        <v>0</v>
      </c>
      <c r="R23">
        <f>IF('14 Detailed Results'!P6="","",'14 Detailed Results'!P6)</f>
        <v>0</v>
      </c>
      <c r="S23">
        <f>IF('14 Detailed Results'!Q6="","",'14 Detailed Results'!Q6)</f>
        <v>0</v>
      </c>
      <c r="T23" t="str">
        <f>IF('14 Detailed Results'!R6="","",'14 Detailed Results'!R6)</f>
        <v>Admission</v>
      </c>
      <c r="U23" t="str">
        <f>IF('14 Detailed Results'!S6="","",'14 Detailed Results'!S6)</f>
        <v/>
      </c>
    </row>
    <row r="24" spans="1:21">
      <c r="A24" s="3">
        <f>'02 Hospice Setup'!$B$5</f>
        <v>0</v>
      </c>
      <c r="B24" s="3" t="str">
        <f>'02 Hospice Setup'!$H$5</f>
        <v>Version 5.1</v>
      </c>
      <c r="C24" s="3" t="str">
        <f>'02 Hospice Setup'!$E$6</f>
        <v>Actual</v>
      </c>
      <c r="D24" s="18">
        <f>'02 Hospice Setup'!$H$7</f>
        <v>0</v>
      </c>
      <c r="E24" s="3" t="s">
        <v>114</v>
      </c>
      <c r="F24" s="3" t="s">
        <v>213</v>
      </c>
      <c r="G24" s="3" t="s">
        <v>631</v>
      </c>
      <c r="H24" s="3" t="s">
        <v>564</v>
      </c>
      <c r="I24" s="19">
        <f>SUMIF('14 Detailed Results'!$A$5:$A$35,F24,'14 Detailed Results'!$K$5:$K$35)</f>
        <v>0</v>
      </c>
      <c r="J24" s="3" t="s">
        <v>706</v>
      </c>
      <c r="K24" s="3"/>
      <c r="L24" s="3"/>
      <c r="M24" s="3"/>
      <c r="N24" s="3" t="str">
        <f t="shared" si="1"/>
        <v>Not provided</v>
      </c>
      <c r="O24" s="3" t="s">
        <v>703</v>
      </c>
      <c r="P24" s="3" t="s">
        <v>43</v>
      </c>
      <c r="Q24">
        <f>IF('14 Detailed Results'!O6="","",'14 Detailed Results'!O6)</f>
        <v>0</v>
      </c>
      <c r="R24">
        <f>IF('14 Detailed Results'!P6="","",'14 Detailed Results'!P6)</f>
        <v>0</v>
      </c>
      <c r="S24">
        <f>IF('14 Detailed Results'!Q6="","",'14 Detailed Results'!Q6)</f>
        <v>0</v>
      </c>
      <c r="T24" t="str">
        <f>IF('14 Detailed Results'!R6="","",'14 Detailed Results'!R6)</f>
        <v>Admission</v>
      </c>
      <c r="U24" t="str">
        <f>IF('14 Detailed Results'!S6="","",'14 Detailed Results'!S6)</f>
        <v/>
      </c>
    </row>
    <row r="25" spans="1:21">
      <c r="A25" s="3">
        <f>'02 Hospice Setup'!$B$5</f>
        <v>0</v>
      </c>
      <c r="B25" s="3" t="str">
        <f>'02 Hospice Setup'!$H$5</f>
        <v>Version 5.1</v>
      </c>
      <c r="C25" s="3" t="str">
        <f>'02 Hospice Setup'!$E$6</f>
        <v>Actual</v>
      </c>
      <c r="D25" s="18">
        <f>'02 Hospice Setup'!$H$7</f>
        <v>0</v>
      </c>
      <c r="E25" s="3" t="s">
        <v>114</v>
      </c>
      <c r="F25" s="3" t="s">
        <v>213</v>
      </c>
      <c r="G25" s="3" t="s">
        <v>631</v>
      </c>
      <c r="H25" s="3" t="s">
        <v>387</v>
      </c>
      <c r="I25" s="19">
        <f>SUMIF('14 Detailed Results'!$A$5:$A$35,F25,'14 Detailed Results'!$L$5:$L$35)</f>
        <v>0</v>
      </c>
      <c r="J25" s="3" t="s">
        <v>389</v>
      </c>
      <c r="K25" s="3"/>
      <c r="L25" s="3"/>
      <c r="M25" s="3"/>
      <c r="N25" s="3" t="str">
        <f>IF(SUMIF('14 Detailed Results'!$A$5:$A$35,F25,'14 Detailed Results'!$F$5:$F$35)=0,"Not provided",IF(I25=0,"Not available","Complete"))</f>
        <v>Not provided</v>
      </c>
      <c r="O25" s="3" t="s">
        <v>703</v>
      </c>
      <c r="P25" s="3" t="s">
        <v>43</v>
      </c>
      <c r="Q25">
        <f>IF('14 Detailed Results'!O6="","",'14 Detailed Results'!O6)</f>
        <v>0</v>
      </c>
      <c r="R25">
        <f>IF('14 Detailed Results'!P6="","",'14 Detailed Results'!P6)</f>
        <v>0</v>
      </c>
      <c r="S25">
        <f>IF('14 Detailed Results'!Q6="","",'14 Detailed Results'!Q6)</f>
        <v>0</v>
      </c>
      <c r="T25" t="str">
        <f>IF('14 Detailed Results'!R6="","",'14 Detailed Results'!R6)</f>
        <v>Admission</v>
      </c>
      <c r="U25" t="str">
        <f>IF('14 Detailed Results'!S6="","",'14 Detailed Results'!S6)</f>
        <v/>
      </c>
    </row>
    <row r="26" spans="1:21">
      <c r="A26" s="3">
        <f>'02 Hospice Setup'!$B$5</f>
        <v>0</v>
      </c>
      <c r="B26" s="3" t="str">
        <f>'02 Hospice Setup'!$H$5</f>
        <v>Version 5.1</v>
      </c>
      <c r="C26" s="3" t="str">
        <f>'02 Hospice Setup'!$E$6</f>
        <v>Actual</v>
      </c>
      <c r="D26" s="18">
        <f>'02 Hospice Setup'!$H$7</f>
        <v>0</v>
      </c>
      <c r="E26" s="3" t="s">
        <v>114</v>
      </c>
      <c r="F26" s="3" t="s">
        <v>213</v>
      </c>
      <c r="G26" s="3" t="s">
        <v>631</v>
      </c>
      <c r="H26" s="3" t="s">
        <v>707</v>
      </c>
      <c r="I26" s="19">
        <f>SUMIF('14 Detailed Results'!$A$5:$A$35,F26,'14 Detailed Results'!$M$5:$M$35)</f>
        <v>0</v>
      </c>
      <c r="J26" s="3" t="s">
        <v>61</v>
      </c>
      <c r="K26" s="3"/>
      <c r="L26" s="3"/>
      <c r="M26" s="3"/>
      <c r="N26" s="3" t="str">
        <f>IF(SUMIF('14 Detailed Results'!$A$5:$A$35,F26,'14 Detailed Results'!$F$5:$F$35)=0,"Not provided",IF(I26=0,"Not available","Complete"))</f>
        <v>Not provided</v>
      </c>
      <c r="O26" s="3" t="s">
        <v>703</v>
      </c>
      <c r="P26" s="3" t="s">
        <v>43</v>
      </c>
      <c r="Q26">
        <f>IF('14 Detailed Results'!O6="","",'14 Detailed Results'!O6)</f>
        <v>0</v>
      </c>
      <c r="R26">
        <f>IF('14 Detailed Results'!P6="","",'14 Detailed Results'!P6)</f>
        <v>0</v>
      </c>
      <c r="S26">
        <f>IF('14 Detailed Results'!Q6="","",'14 Detailed Results'!Q6)</f>
        <v>0</v>
      </c>
      <c r="T26" t="str">
        <f>IF('14 Detailed Results'!R6="","",'14 Detailed Results'!R6)</f>
        <v>Admission</v>
      </c>
      <c r="U26" t="str">
        <f>IF('14 Detailed Results'!S6="","",'14 Detailed Results'!S6)</f>
        <v/>
      </c>
    </row>
    <row r="27" spans="1:21">
      <c r="A27" s="3">
        <f>'02 Hospice Setup'!$B$5</f>
        <v>0</v>
      </c>
      <c r="B27" s="3" t="str">
        <f>'02 Hospice Setup'!$H$5</f>
        <v>Version 5.1</v>
      </c>
      <c r="C27" s="3" t="str">
        <f>'02 Hospice Setup'!$E$6</f>
        <v>Actual</v>
      </c>
      <c r="D27" s="18">
        <f>'02 Hospice Setup'!$H$7</f>
        <v>0</v>
      </c>
      <c r="E27" s="3" t="s">
        <v>114</v>
      </c>
      <c r="F27" s="3" t="s">
        <v>214</v>
      </c>
      <c r="G27" s="3" t="s">
        <v>632</v>
      </c>
      <c r="H27" s="3" t="s">
        <v>559</v>
      </c>
      <c r="I27" s="19">
        <f>SUMIF('14 Detailed Results'!$A$5:$A$35,F27,'14 Detailed Results'!$C$5:$C$35)</f>
        <v>0</v>
      </c>
      <c r="J27" s="3" t="s">
        <v>61</v>
      </c>
      <c r="K27" s="3"/>
      <c r="L27" s="3"/>
      <c r="M27" s="3"/>
      <c r="N27" s="3" t="str">
        <f t="shared" ref="N27:N35" si="2">IF(I27=0,"Not provided","Complete")</f>
        <v>Not provided</v>
      </c>
      <c r="O27" s="3" t="s">
        <v>703</v>
      </c>
      <c r="P27" s="3" t="s">
        <v>43</v>
      </c>
      <c r="Q27">
        <f>IF('14 Detailed Results'!O7="","",'14 Detailed Results'!O7)</f>
        <v>0</v>
      </c>
      <c r="R27">
        <f>IF('14 Detailed Results'!P7="","",'14 Detailed Results'!P7)</f>
        <v>0</v>
      </c>
      <c r="S27">
        <f>IF('14 Detailed Results'!Q7="","",'14 Detailed Results'!Q7)</f>
        <v>0</v>
      </c>
      <c r="T27" t="str">
        <f>IF('14 Detailed Results'!R7="","",'14 Detailed Results'!R7)</f>
        <v>Admission</v>
      </c>
      <c r="U27" t="str">
        <f>IF('14 Detailed Results'!S7="","",'14 Detailed Results'!S7)</f>
        <v/>
      </c>
    </row>
    <row r="28" spans="1:21">
      <c r="A28" s="3">
        <f>'02 Hospice Setup'!$B$5</f>
        <v>0</v>
      </c>
      <c r="B28" s="3" t="str">
        <f>'02 Hospice Setup'!$H$5</f>
        <v>Version 5.1</v>
      </c>
      <c r="C28" s="3" t="str">
        <f>'02 Hospice Setup'!$E$6</f>
        <v>Actual</v>
      </c>
      <c r="D28" s="18">
        <f>'02 Hospice Setup'!$H$7</f>
        <v>0</v>
      </c>
      <c r="E28" s="3" t="s">
        <v>114</v>
      </c>
      <c r="F28" s="3" t="s">
        <v>214</v>
      </c>
      <c r="G28" s="3" t="s">
        <v>632</v>
      </c>
      <c r="H28" s="3" t="s">
        <v>560</v>
      </c>
      <c r="I28" s="19">
        <f>SUMIF('14 Detailed Results'!$A$5:$A$35,F28,'14 Detailed Results'!$D$5:$D$35)</f>
        <v>0</v>
      </c>
      <c r="J28" s="3" t="s">
        <v>61</v>
      </c>
      <c r="K28" s="3"/>
      <c r="L28" s="3"/>
      <c r="M28" s="3"/>
      <c r="N28" s="3" t="str">
        <f t="shared" si="2"/>
        <v>Not provided</v>
      </c>
      <c r="O28" s="3" t="s">
        <v>703</v>
      </c>
      <c r="P28" s="3" t="s">
        <v>43</v>
      </c>
      <c r="Q28">
        <f>IF('14 Detailed Results'!O7="","",'14 Detailed Results'!O7)</f>
        <v>0</v>
      </c>
      <c r="R28">
        <f>IF('14 Detailed Results'!P7="","",'14 Detailed Results'!P7)</f>
        <v>0</v>
      </c>
      <c r="S28">
        <f>IF('14 Detailed Results'!Q7="","",'14 Detailed Results'!Q7)</f>
        <v>0</v>
      </c>
      <c r="T28" t="str">
        <f>IF('14 Detailed Results'!R7="","",'14 Detailed Results'!R7)</f>
        <v>Admission</v>
      </c>
      <c r="U28" t="str">
        <f>IF('14 Detailed Results'!S7="","",'14 Detailed Results'!S7)</f>
        <v/>
      </c>
    </row>
    <row r="29" spans="1:21">
      <c r="A29" s="3">
        <f>'02 Hospice Setup'!$B$5</f>
        <v>0</v>
      </c>
      <c r="B29" s="3" t="str">
        <f>'02 Hospice Setup'!$H$5</f>
        <v>Version 5.1</v>
      </c>
      <c r="C29" s="3" t="str">
        <f>'02 Hospice Setup'!$E$6</f>
        <v>Actual</v>
      </c>
      <c r="D29" s="18">
        <f>'02 Hospice Setup'!$H$7</f>
        <v>0</v>
      </c>
      <c r="E29" s="3" t="s">
        <v>114</v>
      </c>
      <c r="F29" s="3" t="s">
        <v>214</v>
      </c>
      <c r="G29" s="3" t="s">
        <v>632</v>
      </c>
      <c r="H29" s="3" t="s">
        <v>570</v>
      </c>
      <c r="I29" s="19">
        <f>SUMIF('14 Detailed Results'!$A$5:$A$35,F29,'14 Detailed Results'!$E$5:$E$35)</f>
        <v>0</v>
      </c>
      <c r="J29" s="3" t="s">
        <v>61</v>
      </c>
      <c r="K29" s="3"/>
      <c r="L29" s="3"/>
      <c r="M29" s="3"/>
      <c r="N29" s="3" t="str">
        <f t="shared" si="2"/>
        <v>Not provided</v>
      </c>
      <c r="O29" s="3" t="s">
        <v>703</v>
      </c>
      <c r="P29" s="3" t="s">
        <v>43</v>
      </c>
      <c r="Q29">
        <f>IF('14 Detailed Results'!O7="","",'14 Detailed Results'!O7)</f>
        <v>0</v>
      </c>
      <c r="R29">
        <f>IF('14 Detailed Results'!P7="","",'14 Detailed Results'!P7)</f>
        <v>0</v>
      </c>
      <c r="S29">
        <f>IF('14 Detailed Results'!Q7="","",'14 Detailed Results'!Q7)</f>
        <v>0</v>
      </c>
      <c r="T29" t="str">
        <f>IF('14 Detailed Results'!R7="","",'14 Detailed Results'!R7)</f>
        <v>Admission</v>
      </c>
      <c r="U29" t="str">
        <f>IF('14 Detailed Results'!S7="","",'14 Detailed Results'!S7)</f>
        <v/>
      </c>
    </row>
    <row r="30" spans="1:21">
      <c r="A30" s="3">
        <f>'02 Hospice Setup'!$B$5</f>
        <v>0</v>
      </c>
      <c r="B30" s="3" t="str">
        <f>'02 Hospice Setup'!$H$5</f>
        <v>Version 5.1</v>
      </c>
      <c r="C30" s="3" t="str">
        <f>'02 Hospice Setup'!$E$6</f>
        <v>Actual</v>
      </c>
      <c r="D30" s="18">
        <f>'02 Hospice Setup'!$H$7</f>
        <v>0</v>
      </c>
      <c r="E30" s="3" t="s">
        <v>114</v>
      </c>
      <c r="F30" s="3" t="s">
        <v>214</v>
      </c>
      <c r="G30" s="3" t="s">
        <v>632</v>
      </c>
      <c r="H30" s="3" t="s">
        <v>561</v>
      </c>
      <c r="I30" s="19">
        <f>SUMIF('14 Detailed Results'!$A$5:$A$35,F30,'14 Detailed Results'!$F$5:$F$35)</f>
        <v>0</v>
      </c>
      <c r="J30" s="3" t="s">
        <v>61</v>
      </c>
      <c r="K30" s="3"/>
      <c r="L30" s="3"/>
      <c r="M30" s="3"/>
      <c r="N30" s="3" t="str">
        <f t="shared" si="2"/>
        <v>Not provided</v>
      </c>
      <c r="O30" s="3" t="s">
        <v>703</v>
      </c>
      <c r="P30" s="3" t="s">
        <v>43</v>
      </c>
      <c r="Q30">
        <f>IF('14 Detailed Results'!O7="","",'14 Detailed Results'!O7)</f>
        <v>0</v>
      </c>
      <c r="R30">
        <f>IF('14 Detailed Results'!P7="","",'14 Detailed Results'!P7)</f>
        <v>0</v>
      </c>
      <c r="S30">
        <f>IF('14 Detailed Results'!Q7="","",'14 Detailed Results'!Q7)</f>
        <v>0</v>
      </c>
      <c r="T30" t="str">
        <f>IF('14 Detailed Results'!R7="","",'14 Detailed Results'!R7)</f>
        <v>Admission</v>
      </c>
      <c r="U30" t="str">
        <f>IF('14 Detailed Results'!S7="","",'14 Detailed Results'!S7)</f>
        <v/>
      </c>
    </row>
    <row r="31" spans="1:21">
      <c r="A31" s="3">
        <f>'02 Hospice Setup'!$B$5</f>
        <v>0</v>
      </c>
      <c r="B31" s="3" t="str">
        <f>'02 Hospice Setup'!$H$5</f>
        <v>Version 5.1</v>
      </c>
      <c r="C31" s="3" t="str">
        <f>'02 Hospice Setup'!$E$6</f>
        <v>Actual</v>
      </c>
      <c r="D31" s="18">
        <f>'02 Hospice Setup'!$H$7</f>
        <v>0</v>
      </c>
      <c r="E31" s="3" t="s">
        <v>114</v>
      </c>
      <c r="F31" s="3" t="s">
        <v>214</v>
      </c>
      <c r="G31" s="3" t="s">
        <v>632</v>
      </c>
      <c r="H31" s="3" t="s">
        <v>382</v>
      </c>
      <c r="I31" s="19">
        <f>SUMIF('14 Detailed Results'!$A$5:$A$35,F31,'14 Detailed Results'!$G$5:$G$35)</f>
        <v>0</v>
      </c>
      <c r="J31" s="3" t="s">
        <v>383</v>
      </c>
      <c r="K31" s="3"/>
      <c r="L31" s="3"/>
      <c r="M31" s="3"/>
      <c r="N31" s="3" t="str">
        <f t="shared" si="2"/>
        <v>Not provided</v>
      </c>
      <c r="O31" s="3" t="s">
        <v>703</v>
      </c>
      <c r="P31" s="3" t="s">
        <v>43</v>
      </c>
      <c r="Q31">
        <f>IF('14 Detailed Results'!O7="","",'14 Detailed Results'!O7)</f>
        <v>0</v>
      </c>
      <c r="R31">
        <f>IF('14 Detailed Results'!P7="","",'14 Detailed Results'!P7)</f>
        <v>0</v>
      </c>
      <c r="S31">
        <f>IF('14 Detailed Results'!Q7="","",'14 Detailed Results'!Q7)</f>
        <v>0</v>
      </c>
      <c r="T31" t="str">
        <f>IF('14 Detailed Results'!R7="","",'14 Detailed Results'!R7)</f>
        <v>Admission</v>
      </c>
      <c r="U31" t="str">
        <f>IF('14 Detailed Results'!S7="","",'14 Detailed Results'!S7)</f>
        <v/>
      </c>
    </row>
    <row r="32" spans="1:21">
      <c r="A32" s="3">
        <f>'02 Hospice Setup'!$B$5</f>
        <v>0</v>
      </c>
      <c r="B32" s="3" t="str">
        <f>'02 Hospice Setup'!$H$5</f>
        <v>Version 5.1</v>
      </c>
      <c r="C32" s="3" t="str">
        <f>'02 Hospice Setup'!$E$6</f>
        <v>Actual</v>
      </c>
      <c r="D32" s="18">
        <f>'02 Hospice Setup'!$H$7</f>
        <v>0</v>
      </c>
      <c r="E32" s="3" t="s">
        <v>114</v>
      </c>
      <c r="F32" s="3" t="s">
        <v>214</v>
      </c>
      <c r="G32" s="3" t="s">
        <v>632</v>
      </c>
      <c r="H32" s="3" t="s">
        <v>386</v>
      </c>
      <c r="I32" s="19">
        <f>SUMIF('14 Detailed Results'!$A$5:$A$35,F32,'14 Detailed Results'!$H$5:$H$35)</f>
        <v>0</v>
      </c>
      <c r="J32" s="3" t="s">
        <v>383</v>
      </c>
      <c r="K32" s="3"/>
      <c r="L32" s="3"/>
      <c r="M32" s="3"/>
      <c r="N32" s="3" t="str">
        <f t="shared" si="2"/>
        <v>Not provided</v>
      </c>
      <c r="O32" s="3" t="s">
        <v>703</v>
      </c>
      <c r="P32" s="3" t="s">
        <v>43</v>
      </c>
      <c r="Q32">
        <f>IF('14 Detailed Results'!O7="","",'14 Detailed Results'!O7)</f>
        <v>0</v>
      </c>
      <c r="R32">
        <f>IF('14 Detailed Results'!P7="","",'14 Detailed Results'!P7)</f>
        <v>0</v>
      </c>
      <c r="S32">
        <f>IF('14 Detailed Results'!Q7="","",'14 Detailed Results'!Q7)</f>
        <v>0</v>
      </c>
      <c r="T32" t="str">
        <f>IF('14 Detailed Results'!R7="","",'14 Detailed Results'!R7)</f>
        <v>Admission</v>
      </c>
      <c r="U32" t="str">
        <f>IF('14 Detailed Results'!S7="","",'14 Detailed Results'!S7)</f>
        <v/>
      </c>
    </row>
    <row r="33" spans="1:21">
      <c r="A33" s="3">
        <f>'02 Hospice Setup'!$B$5</f>
        <v>0</v>
      </c>
      <c r="B33" s="3" t="str">
        <f>'02 Hospice Setup'!$H$5</f>
        <v>Version 5.1</v>
      </c>
      <c r="C33" s="3" t="str">
        <f>'02 Hospice Setup'!$E$6</f>
        <v>Actual</v>
      </c>
      <c r="D33" s="18">
        <f>'02 Hospice Setup'!$H$7</f>
        <v>0</v>
      </c>
      <c r="E33" s="3" t="s">
        <v>114</v>
      </c>
      <c r="F33" s="3" t="s">
        <v>214</v>
      </c>
      <c r="G33" s="3" t="s">
        <v>632</v>
      </c>
      <c r="H33" s="3" t="s">
        <v>704</v>
      </c>
      <c r="I33" s="19">
        <f>SUMIF('14 Detailed Results'!$A$5:$A$35,F33,'14 Detailed Results'!$I$5:$I$35)</f>
        <v>0</v>
      </c>
      <c r="J33" s="3" t="s">
        <v>61</v>
      </c>
      <c r="K33" s="3"/>
      <c r="L33" s="3"/>
      <c r="M33" s="3"/>
      <c r="N33" s="3" t="str">
        <f t="shared" si="2"/>
        <v>Not provided</v>
      </c>
      <c r="O33" s="3" t="s">
        <v>703</v>
      </c>
      <c r="P33" s="3" t="s">
        <v>43</v>
      </c>
      <c r="Q33">
        <f>IF('14 Detailed Results'!O7="","",'14 Detailed Results'!O7)</f>
        <v>0</v>
      </c>
      <c r="R33">
        <f>IF('14 Detailed Results'!P7="","",'14 Detailed Results'!P7)</f>
        <v>0</v>
      </c>
      <c r="S33">
        <f>IF('14 Detailed Results'!Q7="","",'14 Detailed Results'!Q7)</f>
        <v>0</v>
      </c>
      <c r="T33" t="str">
        <f>IF('14 Detailed Results'!R7="","",'14 Detailed Results'!R7)</f>
        <v>Admission</v>
      </c>
      <c r="U33" t="str">
        <f>IF('14 Detailed Results'!S7="","",'14 Detailed Results'!S7)</f>
        <v/>
      </c>
    </row>
    <row r="34" spans="1:21">
      <c r="A34" s="3">
        <f>'02 Hospice Setup'!$B$5</f>
        <v>0</v>
      </c>
      <c r="B34" s="3" t="str">
        <f>'02 Hospice Setup'!$H$5</f>
        <v>Version 5.1</v>
      </c>
      <c r="C34" s="3" t="str">
        <f>'02 Hospice Setup'!$E$6</f>
        <v>Actual</v>
      </c>
      <c r="D34" s="18">
        <f>'02 Hospice Setup'!$H$7</f>
        <v>0</v>
      </c>
      <c r="E34" s="3" t="s">
        <v>114</v>
      </c>
      <c r="F34" s="3" t="s">
        <v>214</v>
      </c>
      <c r="G34" s="3" t="s">
        <v>632</v>
      </c>
      <c r="H34" s="3" t="s">
        <v>705</v>
      </c>
      <c r="I34" s="19">
        <f>SUMIF('14 Detailed Results'!$A$5:$A$35,F34,'14 Detailed Results'!$J$5:$J$35)</f>
        <v>0</v>
      </c>
      <c r="J34" s="3" t="s">
        <v>61</v>
      </c>
      <c r="K34" s="3"/>
      <c r="L34" s="3"/>
      <c r="M34" s="3"/>
      <c r="N34" s="3" t="str">
        <f t="shared" si="2"/>
        <v>Not provided</v>
      </c>
      <c r="O34" s="3" t="s">
        <v>703</v>
      </c>
      <c r="P34" s="3" t="s">
        <v>43</v>
      </c>
      <c r="Q34">
        <f>IF('14 Detailed Results'!O7="","",'14 Detailed Results'!O7)</f>
        <v>0</v>
      </c>
      <c r="R34">
        <f>IF('14 Detailed Results'!P7="","",'14 Detailed Results'!P7)</f>
        <v>0</v>
      </c>
      <c r="S34">
        <f>IF('14 Detailed Results'!Q7="","",'14 Detailed Results'!Q7)</f>
        <v>0</v>
      </c>
      <c r="T34" t="str">
        <f>IF('14 Detailed Results'!R7="","",'14 Detailed Results'!R7)</f>
        <v>Admission</v>
      </c>
      <c r="U34" t="str">
        <f>IF('14 Detailed Results'!S7="","",'14 Detailed Results'!S7)</f>
        <v/>
      </c>
    </row>
    <row r="35" spans="1:21">
      <c r="A35" s="3">
        <f>'02 Hospice Setup'!$B$5</f>
        <v>0</v>
      </c>
      <c r="B35" s="3" t="str">
        <f>'02 Hospice Setup'!$H$5</f>
        <v>Version 5.1</v>
      </c>
      <c r="C35" s="3" t="str">
        <f>'02 Hospice Setup'!$E$6</f>
        <v>Actual</v>
      </c>
      <c r="D35" s="18">
        <f>'02 Hospice Setup'!$H$7</f>
        <v>0</v>
      </c>
      <c r="E35" s="3" t="s">
        <v>114</v>
      </c>
      <c r="F35" s="3" t="s">
        <v>214</v>
      </c>
      <c r="G35" s="3" t="s">
        <v>632</v>
      </c>
      <c r="H35" s="3" t="s">
        <v>564</v>
      </c>
      <c r="I35" s="19">
        <f>SUMIF('14 Detailed Results'!$A$5:$A$35,F35,'14 Detailed Results'!$K$5:$K$35)</f>
        <v>0</v>
      </c>
      <c r="J35" s="3" t="s">
        <v>706</v>
      </c>
      <c r="K35" s="3"/>
      <c r="L35" s="3"/>
      <c r="M35" s="3"/>
      <c r="N35" s="3" t="str">
        <f t="shared" si="2"/>
        <v>Not provided</v>
      </c>
      <c r="O35" s="3" t="s">
        <v>703</v>
      </c>
      <c r="P35" s="3" t="s">
        <v>43</v>
      </c>
      <c r="Q35">
        <f>IF('14 Detailed Results'!O7="","",'14 Detailed Results'!O7)</f>
        <v>0</v>
      </c>
      <c r="R35">
        <f>IF('14 Detailed Results'!P7="","",'14 Detailed Results'!P7)</f>
        <v>0</v>
      </c>
      <c r="S35">
        <f>IF('14 Detailed Results'!Q7="","",'14 Detailed Results'!Q7)</f>
        <v>0</v>
      </c>
      <c r="T35" t="str">
        <f>IF('14 Detailed Results'!R7="","",'14 Detailed Results'!R7)</f>
        <v>Admission</v>
      </c>
      <c r="U35" t="str">
        <f>IF('14 Detailed Results'!S7="","",'14 Detailed Results'!S7)</f>
        <v/>
      </c>
    </row>
    <row r="36" spans="1:21">
      <c r="A36" s="3">
        <f>'02 Hospice Setup'!$B$5</f>
        <v>0</v>
      </c>
      <c r="B36" s="3" t="str">
        <f>'02 Hospice Setup'!$H$5</f>
        <v>Version 5.1</v>
      </c>
      <c r="C36" s="3" t="str">
        <f>'02 Hospice Setup'!$E$6</f>
        <v>Actual</v>
      </c>
      <c r="D36" s="18">
        <f>'02 Hospice Setup'!$H$7</f>
        <v>0</v>
      </c>
      <c r="E36" s="3" t="s">
        <v>114</v>
      </c>
      <c r="F36" s="3" t="s">
        <v>214</v>
      </c>
      <c r="G36" s="3" t="s">
        <v>632</v>
      </c>
      <c r="H36" s="3" t="s">
        <v>387</v>
      </c>
      <c r="I36" s="19">
        <f>SUMIF('14 Detailed Results'!$A$5:$A$35,F36,'14 Detailed Results'!$L$5:$L$35)</f>
        <v>0</v>
      </c>
      <c r="J36" s="3" t="s">
        <v>389</v>
      </c>
      <c r="K36" s="3"/>
      <c r="L36" s="3"/>
      <c r="M36" s="3"/>
      <c r="N36" s="3" t="str">
        <f>IF(SUMIF('14 Detailed Results'!$A$5:$A$35,F36,'14 Detailed Results'!$F$5:$F$35)=0,"Not provided",IF(I36=0,"Not available","Complete"))</f>
        <v>Not provided</v>
      </c>
      <c r="O36" s="3" t="s">
        <v>703</v>
      </c>
      <c r="P36" s="3" t="s">
        <v>43</v>
      </c>
      <c r="Q36">
        <f>IF('14 Detailed Results'!O7="","",'14 Detailed Results'!O7)</f>
        <v>0</v>
      </c>
      <c r="R36">
        <f>IF('14 Detailed Results'!P7="","",'14 Detailed Results'!P7)</f>
        <v>0</v>
      </c>
      <c r="S36">
        <f>IF('14 Detailed Results'!Q7="","",'14 Detailed Results'!Q7)</f>
        <v>0</v>
      </c>
      <c r="T36" t="str">
        <f>IF('14 Detailed Results'!R7="","",'14 Detailed Results'!R7)</f>
        <v>Admission</v>
      </c>
      <c r="U36" t="str">
        <f>IF('14 Detailed Results'!S7="","",'14 Detailed Results'!S7)</f>
        <v/>
      </c>
    </row>
    <row r="37" spans="1:21">
      <c r="A37" s="3">
        <f>'02 Hospice Setup'!$B$5</f>
        <v>0</v>
      </c>
      <c r="B37" s="3" t="str">
        <f>'02 Hospice Setup'!$H$5</f>
        <v>Version 5.1</v>
      </c>
      <c r="C37" s="3" t="str">
        <f>'02 Hospice Setup'!$E$6</f>
        <v>Actual</v>
      </c>
      <c r="D37" s="18">
        <f>'02 Hospice Setup'!$H$7</f>
        <v>0</v>
      </c>
      <c r="E37" s="3" t="s">
        <v>114</v>
      </c>
      <c r="F37" s="3" t="s">
        <v>214</v>
      </c>
      <c r="G37" s="3" t="s">
        <v>632</v>
      </c>
      <c r="H37" s="3" t="s">
        <v>707</v>
      </c>
      <c r="I37" s="19">
        <f>SUMIF('14 Detailed Results'!$A$5:$A$35,F37,'14 Detailed Results'!$M$5:$M$35)</f>
        <v>0</v>
      </c>
      <c r="J37" s="3" t="s">
        <v>61</v>
      </c>
      <c r="K37" s="3"/>
      <c r="L37" s="3"/>
      <c r="M37" s="3"/>
      <c r="N37" s="3" t="str">
        <f>IF(SUMIF('14 Detailed Results'!$A$5:$A$35,F37,'14 Detailed Results'!$F$5:$F$35)=0,"Not provided",IF(I37=0,"Not available","Complete"))</f>
        <v>Not provided</v>
      </c>
      <c r="O37" s="3" t="s">
        <v>703</v>
      </c>
      <c r="P37" s="3" t="s">
        <v>43</v>
      </c>
      <c r="Q37">
        <f>IF('14 Detailed Results'!O7="","",'14 Detailed Results'!O7)</f>
        <v>0</v>
      </c>
      <c r="R37">
        <f>IF('14 Detailed Results'!P7="","",'14 Detailed Results'!P7)</f>
        <v>0</v>
      </c>
      <c r="S37">
        <f>IF('14 Detailed Results'!Q7="","",'14 Detailed Results'!Q7)</f>
        <v>0</v>
      </c>
      <c r="T37" t="str">
        <f>IF('14 Detailed Results'!R7="","",'14 Detailed Results'!R7)</f>
        <v>Admission</v>
      </c>
      <c r="U37" t="str">
        <f>IF('14 Detailed Results'!S7="","",'14 Detailed Results'!S7)</f>
        <v/>
      </c>
    </row>
    <row r="38" spans="1:21">
      <c r="A38" s="3">
        <f>'02 Hospice Setup'!$B$5</f>
        <v>0</v>
      </c>
      <c r="B38" s="3" t="str">
        <f>'02 Hospice Setup'!$H$5</f>
        <v>Version 5.1</v>
      </c>
      <c r="C38" s="3" t="str">
        <f>'02 Hospice Setup'!$E$6</f>
        <v>Actual</v>
      </c>
      <c r="D38" s="18">
        <f>'02 Hospice Setup'!$H$7</f>
        <v>0</v>
      </c>
      <c r="E38" s="3" t="s">
        <v>114</v>
      </c>
      <c r="F38" s="3" t="s">
        <v>215</v>
      </c>
      <c r="G38" s="3" t="s">
        <v>633</v>
      </c>
      <c r="H38" s="3" t="s">
        <v>559</v>
      </c>
      <c r="I38" s="19">
        <f>SUMIF('14 Detailed Results'!$A$5:$A$35,F38,'14 Detailed Results'!$C$5:$C$35)</f>
        <v>0</v>
      </c>
      <c r="J38" s="3" t="s">
        <v>61</v>
      </c>
      <c r="K38" s="3"/>
      <c r="L38" s="3"/>
      <c r="M38" s="3"/>
      <c r="N38" s="3" t="str">
        <f t="shared" ref="N38:N46" si="3">IF(I38=0,"Not provided","Complete")</f>
        <v>Not provided</v>
      </c>
      <c r="O38" s="3" t="s">
        <v>703</v>
      </c>
      <c r="P38" s="3" t="s">
        <v>43</v>
      </c>
      <c r="Q38">
        <f>IF('14 Detailed Results'!O8="","",'14 Detailed Results'!O8)</f>
        <v>0</v>
      </c>
      <c r="R38">
        <f>IF('14 Detailed Results'!P8="","",'14 Detailed Results'!P8)</f>
        <v>0</v>
      </c>
      <c r="S38">
        <f>IF('14 Detailed Results'!Q8="","",'14 Detailed Results'!Q8)</f>
        <v>0</v>
      </c>
      <c r="T38" t="str">
        <f>IF('14 Detailed Results'!R8="","",'14 Detailed Results'!R8)</f>
        <v>Admission</v>
      </c>
      <c r="U38" t="str">
        <f>IF('14 Detailed Results'!S8="","",'14 Detailed Results'!S8)</f>
        <v/>
      </c>
    </row>
    <row r="39" spans="1:21">
      <c r="A39" s="3">
        <f>'02 Hospice Setup'!$B$5</f>
        <v>0</v>
      </c>
      <c r="B39" s="3" t="str">
        <f>'02 Hospice Setup'!$H$5</f>
        <v>Version 5.1</v>
      </c>
      <c r="C39" s="3" t="str">
        <f>'02 Hospice Setup'!$E$6</f>
        <v>Actual</v>
      </c>
      <c r="D39" s="18">
        <f>'02 Hospice Setup'!$H$7</f>
        <v>0</v>
      </c>
      <c r="E39" s="3" t="s">
        <v>114</v>
      </c>
      <c r="F39" s="3" t="s">
        <v>215</v>
      </c>
      <c r="G39" s="3" t="s">
        <v>633</v>
      </c>
      <c r="H39" s="3" t="s">
        <v>560</v>
      </c>
      <c r="I39" s="19">
        <f>SUMIF('14 Detailed Results'!$A$5:$A$35,F39,'14 Detailed Results'!$D$5:$D$35)</f>
        <v>0</v>
      </c>
      <c r="J39" s="3" t="s">
        <v>61</v>
      </c>
      <c r="K39" s="3"/>
      <c r="L39" s="3"/>
      <c r="M39" s="3"/>
      <c r="N39" s="3" t="str">
        <f t="shared" si="3"/>
        <v>Not provided</v>
      </c>
      <c r="O39" s="3" t="s">
        <v>703</v>
      </c>
      <c r="P39" s="3" t="s">
        <v>43</v>
      </c>
      <c r="Q39">
        <f>IF('14 Detailed Results'!O8="","",'14 Detailed Results'!O8)</f>
        <v>0</v>
      </c>
      <c r="R39">
        <f>IF('14 Detailed Results'!P8="","",'14 Detailed Results'!P8)</f>
        <v>0</v>
      </c>
      <c r="S39">
        <f>IF('14 Detailed Results'!Q8="","",'14 Detailed Results'!Q8)</f>
        <v>0</v>
      </c>
      <c r="T39" t="str">
        <f>IF('14 Detailed Results'!R8="","",'14 Detailed Results'!R8)</f>
        <v>Admission</v>
      </c>
      <c r="U39" t="str">
        <f>IF('14 Detailed Results'!S8="","",'14 Detailed Results'!S8)</f>
        <v/>
      </c>
    </row>
    <row r="40" spans="1:21">
      <c r="A40" s="3">
        <f>'02 Hospice Setup'!$B$5</f>
        <v>0</v>
      </c>
      <c r="B40" s="3" t="str">
        <f>'02 Hospice Setup'!$H$5</f>
        <v>Version 5.1</v>
      </c>
      <c r="C40" s="3" t="str">
        <f>'02 Hospice Setup'!$E$6</f>
        <v>Actual</v>
      </c>
      <c r="D40" s="18">
        <f>'02 Hospice Setup'!$H$7</f>
        <v>0</v>
      </c>
      <c r="E40" s="3" t="s">
        <v>114</v>
      </c>
      <c r="F40" s="3" t="s">
        <v>215</v>
      </c>
      <c r="G40" s="3" t="s">
        <v>633</v>
      </c>
      <c r="H40" s="3" t="s">
        <v>570</v>
      </c>
      <c r="I40" s="19">
        <f>SUMIF('14 Detailed Results'!$A$5:$A$35,F40,'14 Detailed Results'!$E$5:$E$35)</f>
        <v>0</v>
      </c>
      <c r="J40" s="3" t="s">
        <v>61</v>
      </c>
      <c r="K40" s="3"/>
      <c r="L40" s="3"/>
      <c r="M40" s="3"/>
      <c r="N40" s="3" t="str">
        <f t="shared" si="3"/>
        <v>Not provided</v>
      </c>
      <c r="O40" s="3" t="s">
        <v>703</v>
      </c>
      <c r="P40" s="3" t="s">
        <v>43</v>
      </c>
      <c r="Q40">
        <f>IF('14 Detailed Results'!O8="","",'14 Detailed Results'!O8)</f>
        <v>0</v>
      </c>
      <c r="R40">
        <f>IF('14 Detailed Results'!P8="","",'14 Detailed Results'!P8)</f>
        <v>0</v>
      </c>
      <c r="S40">
        <f>IF('14 Detailed Results'!Q8="","",'14 Detailed Results'!Q8)</f>
        <v>0</v>
      </c>
      <c r="T40" t="str">
        <f>IF('14 Detailed Results'!R8="","",'14 Detailed Results'!R8)</f>
        <v>Admission</v>
      </c>
      <c r="U40" t="str">
        <f>IF('14 Detailed Results'!S8="","",'14 Detailed Results'!S8)</f>
        <v/>
      </c>
    </row>
    <row r="41" spans="1:21">
      <c r="A41" s="3">
        <f>'02 Hospice Setup'!$B$5</f>
        <v>0</v>
      </c>
      <c r="B41" s="3" t="str">
        <f>'02 Hospice Setup'!$H$5</f>
        <v>Version 5.1</v>
      </c>
      <c r="C41" s="3" t="str">
        <f>'02 Hospice Setup'!$E$6</f>
        <v>Actual</v>
      </c>
      <c r="D41" s="18">
        <f>'02 Hospice Setup'!$H$7</f>
        <v>0</v>
      </c>
      <c r="E41" s="3" t="s">
        <v>114</v>
      </c>
      <c r="F41" s="3" t="s">
        <v>215</v>
      </c>
      <c r="G41" s="3" t="s">
        <v>633</v>
      </c>
      <c r="H41" s="3" t="s">
        <v>561</v>
      </c>
      <c r="I41" s="19">
        <f>SUMIF('14 Detailed Results'!$A$5:$A$35,F41,'14 Detailed Results'!$F$5:$F$35)</f>
        <v>0</v>
      </c>
      <c r="J41" s="3" t="s">
        <v>61</v>
      </c>
      <c r="K41" s="3"/>
      <c r="L41" s="3"/>
      <c r="M41" s="3"/>
      <c r="N41" s="3" t="str">
        <f t="shared" si="3"/>
        <v>Not provided</v>
      </c>
      <c r="O41" s="3" t="s">
        <v>703</v>
      </c>
      <c r="P41" s="3" t="s">
        <v>43</v>
      </c>
      <c r="Q41">
        <f>IF('14 Detailed Results'!O8="","",'14 Detailed Results'!O8)</f>
        <v>0</v>
      </c>
      <c r="R41">
        <f>IF('14 Detailed Results'!P8="","",'14 Detailed Results'!P8)</f>
        <v>0</v>
      </c>
      <c r="S41">
        <f>IF('14 Detailed Results'!Q8="","",'14 Detailed Results'!Q8)</f>
        <v>0</v>
      </c>
      <c r="T41" t="str">
        <f>IF('14 Detailed Results'!R8="","",'14 Detailed Results'!R8)</f>
        <v>Admission</v>
      </c>
      <c r="U41" t="str">
        <f>IF('14 Detailed Results'!S8="","",'14 Detailed Results'!S8)</f>
        <v/>
      </c>
    </row>
    <row r="42" spans="1:21">
      <c r="A42" s="3">
        <f>'02 Hospice Setup'!$B$5</f>
        <v>0</v>
      </c>
      <c r="B42" s="3" t="str">
        <f>'02 Hospice Setup'!$H$5</f>
        <v>Version 5.1</v>
      </c>
      <c r="C42" s="3" t="str">
        <f>'02 Hospice Setup'!$E$6</f>
        <v>Actual</v>
      </c>
      <c r="D42" s="18">
        <f>'02 Hospice Setup'!$H$7</f>
        <v>0</v>
      </c>
      <c r="E42" s="3" t="s">
        <v>114</v>
      </c>
      <c r="F42" s="3" t="s">
        <v>215</v>
      </c>
      <c r="G42" s="3" t="s">
        <v>633</v>
      </c>
      <c r="H42" s="3" t="s">
        <v>382</v>
      </c>
      <c r="I42" s="19">
        <f>SUMIF('14 Detailed Results'!$A$5:$A$35,F42,'14 Detailed Results'!$G$5:$G$35)</f>
        <v>0</v>
      </c>
      <c r="J42" s="3" t="s">
        <v>383</v>
      </c>
      <c r="K42" s="3"/>
      <c r="L42" s="3"/>
      <c r="M42" s="3"/>
      <c r="N42" s="3" t="str">
        <f t="shared" si="3"/>
        <v>Not provided</v>
      </c>
      <c r="O42" s="3" t="s">
        <v>703</v>
      </c>
      <c r="P42" s="3" t="s">
        <v>43</v>
      </c>
      <c r="Q42">
        <f>IF('14 Detailed Results'!O8="","",'14 Detailed Results'!O8)</f>
        <v>0</v>
      </c>
      <c r="R42">
        <f>IF('14 Detailed Results'!P8="","",'14 Detailed Results'!P8)</f>
        <v>0</v>
      </c>
      <c r="S42">
        <f>IF('14 Detailed Results'!Q8="","",'14 Detailed Results'!Q8)</f>
        <v>0</v>
      </c>
      <c r="T42" t="str">
        <f>IF('14 Detailed Results'!R8="","",'14 Detailed Results'!R8)</f>
        <v>Admission</v>
      </c>
      <c r="U42" t="str">
        <f>IF('14 Detailed Results'!S8="","",'14 Detailed Results'!S8)</f>
        <v/>
      </c>
    </row>
    <row r="43" spans="1:21">
      <c r="A43" s="3">
        <f>'02 Hospice Setup'!$B$5</f>
        <v>0</v>
      </c>
      <c r="B43" s="3" t="str">
        <f>'02 Hospice Setup'!$H$5</f>
        <v>Version 5.1</v>
      </c>
      <c r="C43" s="3" t="str">
        <f>'02 Hospice Setup'!$E$6</f>
        <v>Actual</v>
      </c>
      <c r="D43" s="18">
        <f>'02 Hospice Setup'!$H$7</f>
        <v>0</v>
      </c>
      <c r="E43" s="3" t="s">
        <v>114</v>
      </c>
      <c r="F43" s="3" t="s">
        <v>215</v>
      </c>
      <c r="G43" s="3" t="s">
        <v>633</v>
      </c>
      <c r="H43" s="3" t="s">
        <v>386</v>
      </c>
      <c r="I43" s="19">
        <f>SUMIF('14 Detailed Results'!$A$5:$A$35,F43,'14 Detailed Results'!$H$5:$H$35)</f>
        <v>0</v>
      </c>
      <c r="J43" s="3" t="s">
        <v>383</v>
      </c>
      <c r="K43" s="3"/>
      <c r="L43" s="3"/>
      <c r="M43" s="3"/>
      <c r="N43" s="3" t="str">
        <f t="shared" si="3"/>
        <v>Not provided</v>
      </c>
      <c r="O43" s="3" t="s">
        <v>703</v>
      </c>
      <c r="P43" s="3" t="s">
        <v>43</v>
      </c>
      <c r="Q43">
        <f>IF('14 Detailed Results'!O8="","",'14 Detailed Results'!O8)</f>
        <v>0</v>
      </c>
      <c r="R43">
        <f>IF('14 Detailed Results'!P8="","",'14 Detailed Results'!P8)</f>
        <v>0</v>
      </c>
      <c r="S43">
        <f>IF('14 Detailed Results'!Q8="","",'14 Detailed Results'!Q8)</f>
        <v>0</v>
      </c>
      <c r="T43" t="str">
        <f>IF('14 Detailed Results'!R8="","",'14 Detailed Results'!R8)</f>
        <v>Admission</v>
      </c>
      <c r="U43" t="str">
        <f>IF('14 Detailed Results'!S8="","",'14 Detailed Results'!S8)</f>
        <v/>
      </c>
    </row>
    <row r="44" spans="1:21">
      <c r="A44" s="3">
        <f>'02 Hospice Setup'!$B$5</f>
        <v>0</v>
      </c>
      <c r="B44" s="3" t="str">
        <f>'02 Hospice Setup'!$H$5</f>
        <v>Version 5.1</v>
      </c>
      <c r="C44" s="3" t="str">
        <f>'02 Hospice Setup'!$E$6</f>
        <v>Actual</v>
      </c>
      <c r="D44" s="18">
        <f>'02 Hospice Setup'!$H$7</f>
        <v>0</v>
      </c>
      <c r="E44" s="3" t="s">
        <v>114</v>
      </c>
      <c r="F44" s="3" t="s">
        <v>215</v>
      </c>
      <c r="G44" s="3" t="s">
        <v>633</v>
      </c>
      <c r="H44" s="3" t="s">
        <v>704</v>
      </c>
      <c r="I44" s="19">
        <f>SUMIF('14 Detailed Results'!$A$5:$A$35,F44,'14 Detailed Results'!$I$5:$I$35)</f>
        <v>0</v>
      </c>
      <c r="J44" s="3" t="s">
        <v>61</v>
      </c>
      <c r="K44" s="3"/>
      <c r="L44" s="3"/>
      <c r="M44" s="3"/>
      <c r="N44" s="3" t="str">
        <f t="shared" si="3"/>
        <v>Not provided</v>
      </c>
      <c r="O44" s="3" t="s">
        <v>703</v>
      </c>
      <c r="P44" s="3" t="s">
        <v>43</v>
      </c>
      <c r="Q44">
        <f>IF('14 Detailed Results'!O8="","",'14 Detailed Results'!O8)</f>
        <v>0</v>
      </c>
      <c r="R44">
        <f>IF('14 Detailed Results'!P8="","",'14 Detailed Results'!P8)</f>
        <v>0</v>
      </c>
      <c r="S44">
        <f>IF('14 Detailed Results'!Q8="","",'14 Detailed Results'!Q8)</f>
        <v>0</v>
      </c>
      <c r="T44" t="str">
        <f>IF('14 Detailed Results'!R8="","",'14 Detailed Results'!R8)</f>
        <v>Admission</v>
      </c>
      <c r="U44" t="str">
        <f>IF('14 Detailed Results'!S8="","",'14 Detailed Results'!S8)</f>
        <v/>
      </c>
    </row>
    <row r="45" spans="1:21">
      <c r="A45" s="3">
        <f>'02 Hospice Setup'!$B$5</f>
        <v>0</v>
      </c>
      <c r="B45" s="3" t="str">
        <f>'02 Hospice Setup'!$H$5</f>
        <v>Version 5.1</v>
      </c>
      <c r="C45" s="3" t="str">
        <f>'02 Hospice Setup'!$E$6</f>
        <v>Actual</v>
      </c>
      <c r="D45" s="18">
        <f>'02 Hospice Setup'!$H$7</f>
        <v>0</v>
      </c>
      <c r="E45" s="3" t="s">
        <v>114</v>
      </c>
      <c r="F45" s="3" t="s">
        <v>215</v>
      </c>
      <c r="G45" s="3" t="s">
        <v>633</v>
      </c>
      <c r="H45" s="3" t="s">
        <v>705</v>
      </c>
      <c r="I45" s="19">
        <f>SUMIF('14 Detailed Results'!$A$5:$A$35,F45,'14 Detailed Results'!$J$5:$J$35)</f>
        <v>0</v>
      </c>
      <c r="J45" s="3" t="s">
        <v>61</v>
      </c>
      <c r="K45" s="3"/>
      <c r="L45" s="3"/>
      <c r="M45" s="3"/>
      <c r="N45" s="3" t="str">
        <f t="shared" si="3"/>
        <v>Not provided</v>
      </c>
      <c r="O45" s="3" t="s">
        <v>703</v>
      </c>
      <c r="P45" s="3" t="s">
        <v>43</v>
      </c>
      <c r="Q45">
        <f>IF('14 Detailed Results'!O8="","",'14 Detailed Results'!O8)</f>
        <v>0</v>
      </c>
      <c r="R45">
        <f>IF('14 Detailed Results'!P8="","",'14 Detailed Results'!P8)</f>
        <v>0</v>
      </c>
      <c r="S45">
        <f>IF('14 Detailed Results'!Q8="","",'14 Detailed Results'!Q8)</f>
        <v>0</v>
      </c>
      <c r="T45" t="str">
        <f>IF('14 Detailed Results'!R8="","",'14 Detailed Results'!R8)</f>
        <v>Admission</v>
      </c>
      <c r="U45" t="str">
        <f>IF('14 Detailed Results'!S8="","",'14 Detailed Results'!S8)</f>
        <v/>
      </c>
    </row>
    <row r="46" spans="1:21">
      <c r="A46" s="3">
        <f>'02 Hospice Setup'!$B$5</f>
        <v>0</v>
      </c>
      <c r="B46" s="3" t="str">
        <f>'02 Hospice Setup'!$H$5</f>
        <v>Version 5.1</v>
      </c>
      <c r="C46" s="3" t="str">
        <f>'02 Hospice Setup'!$E$6</f>
        <v>Actual</v>
      </c>
      <c r="D46" s="18">
        <f>'02 Hospice Setup'!$H$7</f>
        <v>0</v>
      </c>
      <c r="E46" s="3" t="s">
        <v>114</v>
      </c>
      <c r="F46" s="3" t="s">
        <v>215</v>
      </c>
      <c r="G46" s="3" t="s">
        <v>633</v>
      </c>
      <c r="H46" s="3" t="s">
        <v>564</v>
      </c>
      <c r="I46" s="19">
        <f>SUMIF('14 Detailed Results'!$A$5:$A$35,F46,'14 Detailed Results'!$K$5:$K$35)</f>
        <v>0</v>
      </c>
      <c r="J46" s="3" t="s">
        <v>706</v>
      </c>
      <c r="K46" s="3"/>
      <c r="L46" s="3"/>
      <c r="M46" s="3"/>
      <c r="N46" s="3" t="str">
        <f t="shared" si="3"/>
        <v>Not provided</v>
      </c>
      <c r="O46" s="3" t="s">
        <v>703</v>
      </c>
      <c r="P46" s="3" t="s">
        <v>43</v>
      </c>
      <c r="Q46">
        <f>IF('14 Detailed Results'!O8="","",'14 Detailed Results'!O8)</f>
        <v>0</v>
      </c>
      <c r="R46">
        <f>IF('14 Detailed Results'!P8="","",'14 Detailed Results'!P8)</f>
        <v>0</v>
      </c>
      <c r="S46">
        <f>IF('14 Detailed Results'!Q8="","",'14 Detailed Results'!Q8)</f>
        <v>0</v>
      </c>
      <c r="T46" t="str">
        <f>IF('14 Detailed Results'!R8="","",'14 Detailed Results'!R8)</f>
        <v>Admission</v>
      </c>
      <c r="U46" t="str">
        <f>IF('14 Detailed Results'!S8="","",'14 Detailed Results'!S8)</f>
        <v/>
      </c>
    </row>
    <row r="47" spans="1:21">
      <c r="A47" s="3">
        <f>'02 Hospice Setup'!$B$5</f>
        <v>0</v>
      </c>
      <c r="B47" s="3" t="str">
        <f>'02 Hospice Setup'!$H$5</f>
        <v>Version 5.1</v>
      </c>
      <c r="C47" s="3" t="str">
        <f>'02 Hospice Setup'!$E$6</f>
        <v>Actual</v>
      </c>
      <c r="D47" s="18">
        <f>'02 Hospice Setup'!$H$7</f>
        <v>0</v>
      </c>
      <c r="E47" s="3" t="s">
        <v>114</v>
      </c>
      <c r="F47" s="3" t="s">
        <v>215</v>
      </c>
      <c r="G47" s="3" t="s">
        <v>633</v>
      </c>
      <c r="H47" s="3" t="s">
        <v>387</v>
      </c>
      <c r="I47" s="19">
        <f>SUMIF('14 Detailed Results'!$A$5:$A$35,F47,'14 Detailed Results'!$L$5:$L$35)</f>
        <v>0</v>
      </c>
      <c r="J47" s="3" t="s">
        <v>389</v>
      </c>
      <c r="K47" s="3"/>
      <c r="L47" s="3"/>
      <c r="M47" s="3"/>
      <c r="N47" s="3" t="str">
        <f>IF(SUMIF('14 Detailed Results'!$A$5:$A$35,F47,'14 Detailed Results'!$F$5:$F$35)=0,"Not provided",IF(I47=0,"Not available","Complete"))</f>
        <v>Not provided</v>
      </c>
      <c r="O47" s="3" t="s">
        <v>703</v>
      </c>
      <c r="P47" s="3" t="s">
        <v>43</v>
      </c>
      <c r="Q47">
        <f>IF('14 Detailed Results'!O8="","",'14 Detailed Results'!O8)</f>
        <v>0</v>
      </c>
      <c r="R47">
        <f>IF('14 Detailed Results'!P8="","",'14 Detailed Results'!P8)</f>
        <v>0</v>
      </c>
      <c r="S47">
        <f>IF('14 Detailed Results'!Q8="","",'14 Detailed Results'!Q8)</f>
        <v>0</v>
      </c>
      <c r="T47" t="str">
        <f>IF('14 Detailed Results'!R8="","",'14 Detailed Results'!R8)</f>
        <v>Admission</v>
      </c>
      <c r="U47" t="str">
        <f>IF('14 Detailed Results'!S8="","",'14 Detailed Results'!S8)</f>
        <v/>
      </c>
    </row>
    <row r="48" spans="1:21">
      <c r="A48" s="3">
        <f>'02 Hospice Setup'!$B$5</f>
        <v>0</v>
      </c>
      <c r="B48" s="3" t="str">
        <f>'02 Hospice Setup'!$H$5</f>
        <v>Version 5.1</v>
      </c>
      <c r="C48" s="3" t="str">
        <f>'02 Hospice Setup'!$E$6</f>
        <v>Actual</v>
      </c>
      <c r="D48" s="18">
        <f>'02 Hospice Setup'!$H$7</f>
        <v>0</v>
      </c>
      <c r="E48" s="3" t="s">
        <v>114</v>
      </c>
      <c r="F48" s="3" t="s">
        <v>215</v>
      </c>
      <c r="G48" s="3" t="s">
        <v>633</v>
      </c>
      <c r="H48" s="3" t="s">
        <v>707</v>
      </c>
      <c r="I48" s="19">
        <f>SUMIF('14 Detailed Results'!$A$5:$A$35,F48,'14 Detailed Results'!$M$5:$M$35)</f>
        <v>0</v>
      </c>
      <c r="J48" s="3" t="s">
        <v>61</v>
      </c>
      <c r="K48" s="3"/>
      <c r="L48" s="3"/>
      <c r="M48" s="3"/>
      <c r="N48" s="3" t="str">
        <f>IF(SUMIF('14 Detailed Results'!$A$5:$A$35,F48,'14 Detailed Results'!$F$5:$F$35)=0,"Not provided",IF(I48=0,"Not available","Complete"))</f>
        <v>Not provided</v>
      </c>
      <c r="O48" s="3" t="s">
        <v>703</v>
      </c>
      <c r="P48" s="3" t="s">
        <v>43</v>
      </c>
      <c r="Q48">
        <f>IF('14 Detailed Results'!O8="","",'14 Detailed Results'!O8)</f>
        <v>0</v>
      </c>
      <c r="R48">
        <f>IF('14 Detailed Results'!P8="","",'14 Detailed Results'!P8)</f>
        <v>0</v>
      </c>
      <c r="S48">
        <f>IF('14 Detailed Results'!Q8="","",'14 Detailed Results'!Q8)</f>
        <v>0</v>
      </c>
      <c r="T48" t="str">
        <f>IF('14 Detailed Results'!R8="","",'14 Detailed Results'!R8)</f>
        <v>Admission</v>
      </c>
      <c r="U48" t="str">
        <f>IF('14 Detailed Results'!S8="","",'14 Detailed Results'!S8)</f>
        <v/>
      </c>
    </row>
    <row r="49" spans="1:21">
      <c r="A49" s="3">
        <f>'02 Hospice Setup'!$B$5</f>
        <v>0</v>
      </c>
      <c r="B49" s="3" t="str">
        <f>'02 Hospice Setup'!$H$5</f>
        <v>Version 5.1</v>
      </c>
      <c r="C49" s="3" t="str">
        <f>'02 Hospice Setup'!$E$6</f>
        <v>Actual</v>
      </c>
      <c r="D49" s="18">
        <f>'02 Hospice Setup'!$H$7</f>
        <v>0</v>
      </c>
      <c r="E49" s="3" t="s">
        <v>114</v>
      </c>
      <c r="F49" s="3" t="s">
        <v>117</v>
      </c>
      <c r="G49" s="3" t="s">
        <v>119</v>
      </c>
      <c r="H49" s="3" t="s">
        <v>559</v>
      </c>
      <c r="I49" s="19">
        <f>SUMIF('14 Detailed Results'!$A$5:$A$35,F49,'14 Detailed Results'!$C$5:$C$35)</f>
        <v>0</v>
      </c>
      <c r="J49" s="3" t="s">
        <v>61</v>
      </c>
      <c r="K49" s="3"/>
      <c r="L49" s="3"/>
      <c r="M49" s="3"/>
      <c r="N49" s="3" t="str">
        <f t="shared" ref="N49:N57" si="4">IF(I49=0,"Not provided","Complete")</f>
        <v>Not provided</v>
      </c>
      <c r="O49" s="3"/>
      <c r="P49" s="3" t="s">
        <v>43</v>
      </c>
      <c r="Q49">
        <f>IF('14 Detailed Results'!O9="","",'14 Detailed Results'!O9)</f>
        <v>0</v>
      </c>
      <c r="R49">
        <f>IF('14 Detailed Results'!P9="","",'14 Detailed Results'!P9)</f>
        <v>0</v>
      </c>
      <c r="S49">
        <f>IF('14 Detailed Results'!Q9="","",'14 Detailed Results'!Q9)</f>
        <v>0</v>
      </c>
      <c r="T49" t="str">
        <f>IF('14 Detailed Results'!R9="","",'14 Detailed Results'!R9)</f>
        <v>Service user</v>
      </c>
      <c r="U49" t="str">
        <f>IF('14 Detailed Results'!S9="","",'14 Detailed Results'!S9)</f>
        <v/>
      </c>
    </row>
    <row r="50" spans="1:21">
      <c r="A50" s="3">
        <f>'02 Hospice Setup'!$B$5</f>
        <v>0</v>
      </c>
      <c r="B50" s="3" t="str">
        <f>'02 Hospice Setup'!$H$5</f>
        <v>Version 5.1</v>
      </c>
      <c r="C50" s="3" t="str">
        <f>'02 Hospice Setup'!$E$6</f>
        <v>Actual</v>
      </c>
      <c r="D50" s="18">
        <f>'02 Hospice Setup'!$H$7</f>
        <v>0</v>
      </c>
      <c r="E50" s="3" t="s">
        <v>114</v>
      </c>
      <c r="F50" s="3" t="s">
        <v>117</v>
      </c>
      <c r="G50" s="3" t="s">
        <v>119</v>
      </c>
      <c r="H50" s="3" t="s">
        <v>560</v>
      </c>
      <c r="I50" s="19">
        <f>SUMIF('14 Detailed Results'!$A$5:$A$35,F50,'14 Detailed Results'!$D$5:$D$35)</f>
        <v>0</v>
      </c>
      <c r="J50" s="3" t="s">
        <v>61</v>
      </c>
      <c r="K50" s="3"/>
      <c r="L50" s="3"/>
      <c r="M50" s="3"/>
      <c r="N50" s="3" t="str">
        <f t="shared" si="4"/>
        <v>Not provided</v>
      </c>
      <c r="O50" s="3"/>
      <c r="P50" s="3" t="s">
        <v>43</v>
      </c>
      <c r="Q50">
        <f>IF('14 Detailed Results'!O9="","",'14 Detailed Results'!O9)</f>
        <v>0</v>
      </c>
      <c r="R50">
        <f>IF('14 Detailed Results'!P9="","",'14 Detailed Results'!P9)</f>
        <v>0</v>
      </c>
      <c r="S50">
        <f>IF('14 Detailed Results'!Q9="","",'14 Detailed Results'!Q9)</f>
        <v>0</v>
      </c>
      <c r="T50" t="str">
        <f>IF('14 Detailed Results'!R9="","",'14 Detailed Results'!R9)</f>
        <v>Service user</v>
      </c>
      <c r="U50" t="str">
        <f>IF('14 Detailed Results'!S9="","",'14 Detailed Results'!S9)</f>
        <v/>
      </c>
    </row>
    <row r="51" spans="1:21">
      <c r="A51" s="3">
        <f>'02 Hospice Setup'!$B$5</f>
        <v>0</v>
      </c>
      <c r="B51" s="3" t="str">
        <f>'02 Hospice Setup'!$H$5</f>
        <v>Version 5.1</v>
      </c>
      <c r="C51" s="3" t="str">
        <f>'02 Hospice Setup'!$E$6</f>
        <v>Actual</v>
      </c>
      <c r="D51" s="18">
        <f>'02 Hospice Setup'!$H$7</f>
        <v>0</v>
      </c>
      <c r="E51" s="3" t="s">
        <v>114</v>
      </c>
      <c r="F51" s="3" t="s">
        <v>117</v>
      </c>
      <c r="G51" s="3" t="s">
        <v>119</v>
      </c>
      <c r="H51" s="3" t="s">
        <v>570</v>
      </c>
      <c r="I51" s="19">
        <f>SUMIF('14 Detailed Results'!$A$5:$A$35,F51,'14 Detailed Results'!$E$5:$E$35)</f>
        <v>0</v>
      </c>
      <c r="J51" s="3" t="s">
        <v>61</v>
      </c>
      <c r="K51" s="3"/>
      <c r="L51" s="3"/>
      <c r="M51" s="3"/>
      <c r="N51" s="3" t="str">
        <f t="shared" si="4"/>
        <v>Not provided</v>
      </c>
      <c r="O51" s="3"/>
      <c r="P51" s="3" t="s">
        <v>43</v>
      </c>
      <c r="Q51">
        <f>IF('14 Detailed Results'!O9="","",'14 Detailed Results'!O9)</f>
        <v>0</v>
      </c>
      <c r="R51">
        <f>IF('14 Detailed Results'!P9="","",'14 Detailed Results'!P9)</f>
        <v>0</v>
      </c>
      <c r="S51">
        <f>IF('14 Detailed Results'!Q9="","",'14 Detailed Results'!Q9)</f>
        <v>0</v>
      </c>
      <c r="T51" t="str">
        <f>IF('14 Detailed Results'!R9="","",'14 Detailed Results'!R9)</f>
        <v>Service user</v>
      </c>
      <c r="U51" t="str">
        <f>IF('14 Detailed Results'!S9="","",'14 Detailed Results'!S9)</f>
        <v/>
      </c>
    </row>
    <row r="52" spans="1:21">
      <c r="A52" s="3">
        <f>'02 Hospice Setup'!$B$5</f>
        <v>0</v>
      </c>
      <c r="B52" s="3" t="str">
        <f>'02 Hospice Setup'!$H$5</f>
        <v>Version 5.1</v>
      </c>
      <c r="C52" s="3" t="str">
        <f>'02 Hospice Setup'!$E$6</f>
        <v>Actual</v>
      </c>
      <c r="D52" s="18">
        <f>'02 Hospice Setup'!$H$7</f>
        <v>0</v>
      </c>
      <c r="E52" s="3" t="s">
        <v>114</v>
      </c>
      <c r="F52" s="3" t="s">
        <v>117</v>
      </c>
      <c r="G52" s="3" t="s">
        <v>119</v>
      </c>
      <c r="H52" s="3" t="s">
        <v>561</v>
      </c>
      <c r="I52" s="19">
        <f>SUMIF('14 Detailed Results'!$A$5:$A$35,F52,'14 Detailed Results'!$F$5:$F$35)</f>
        <v>0</v>
      </c>
      <c r="J52" s="3" t="s">
        <v>61</v>
      </c>
      <c r="K52" s="3"/>
      <c r="L52" s="3"/>
      <c r="M52" s="3"/>
      <c r="N52" s="3" t="str">
        <f t="shared" si="4"/>
        <v>Not provided</v>
      </c>
      <c r="O52" s="3"/>
      <c r="P52" s="3" t="s">
        <v>43</v>
      </c>
      <c r="Q52">
        <f>IF('14 Detailed Results'!O9="","",'14 Detailed Results'!O9)</f>
        <v>0</v>
      </c>
      <c r="R52">
        <f>IF('14 Detailed Results'!P9="","",'14 Detailed Results'!P9)</f>
        <v>0</v>
      </c>
      <c r="S52">
        <f>IF('14 Detailed Results'!Q9="","",'14 Detailed Results'!Q9)</f>
        <v>0</v>
      </c>
      <c r="T52" t="str">
        <f>IF('14 Detailed Results'!R9="","",'14 Detailed Results'!R9)</f>
        <v>Service user</v>
      </c>
      <c r="U52" t="str">
        <f>IF('14 Detailed Results'!S9="","",'14 Detailed Results'!S9)</f>
        <v/>
      </c>
    </row>
    <row r="53" spans="1:21">
      <c r="A53" s="3">
        <f>'02 Hospice Setup'!$B$5</f>
        <v>0</v>
      </c>
      <c r="B53" s="3" t="str">
        <f>'02 Hospice Setup'!$H$5</f>
        <v>Version 5.1</v>
      </c>
      <c r="C53" s="3" t="str">
        <f>'02 Hospice Setup'!$E$6</f>
        <v>Actual</v>
      </c>
      <c r="D53" s="18">
        <f>'02 Hospice Setup'!$H$7</f>
        <v>0</v>
      </c>
      <c r="E53" s="3" t="s">
        <v>114</v>
      </c>
      <c r="F53" s="3" t="s">
        <v>117</v>
      </c>
      <c r="G53" s="3" t="s">
        <v>119</v>
      </c>
      <c r="H53" s="3" t="s">
        <v>382</v>
      </c>
      <c r="I53" s="19" t="str">
        <f>IF('14 Detailed Results'!G9="","",'14 Detailed Results'!G9)</f>
        <v/>
      </c>
      <c r="J53" s="3" t="s">
        <v>392</v>
      </c>
      <c r="K53" s="3"/>
      <c r="L53" s="3"/>
      <c r="M53" s="3"/>
      <c r="N53" s="3" t="str">
        <f t="shared" si="4"/>
        <v>Complete</v>
      </c>
      <c r="O53" s="3"/>
      <c r="P53" s="3" t="s">
        <v>43</v>
      </c>
      <c r="Q53">
        <f>IF('14 Detailed Results'!O9="","",'14 Detailed Results'!O9)</f>
        <v>0</v>
      </c>
      <c r="R53">
        <f>IF('14 Detailed Results'!P9="","",'14 Detailed Results'!P9)</f>
        <v>0</v>
      </c>
      <c r="S53">
        <f>IF('14 Detailed Results'!Q9="","",'14 Detailed Results'!Q9)</f>
        <v>0</v>
      </c>
      <c r="T53" t="str">
        <f>IF('14 Detailed Results'!R9="","",'14 Detailed Results'!R9)</f>
        <v>Service user</v>
      </c>
      <c r="U53" t="str">
        <f>IF('14 Detailed Results'!S9="","",'14 Detailed Results'!S9)</f>
        <v/>
      </c>
    </row>
    <row r="54" spans="1:21">
      <c r="A54" s="3">
        <f>'02 Hospice Setup'!$B$5</f>
        <v>0</v>
      </c>
      <c r="B54" s="3" t="str">
        <f>'02 Hospice Setup'!$H$5</f>
        <v>Version 5.1</v>
      </c>
      <c r="C54" s="3" t="str">
        <f>'02 Hospice Setup'!$E$6</f>
        <v>Actual</v>
      </c>
      <c r="D54" s="18">
        <f>'02 Hospice Setup'!$H$7</f>
        <v>0</v>
      </c>
      <c r="E54" s="3" t="s">
        <v>114</v>
      </c>
      <c r="F54" s="3" t="s">
        <v>117</v>
      </c>
      <c r="G54" s="3" t="s">
        <v>119</v>
      </c>
      <c r="H54" s="3" t="s">
        <v>386</v>
      </c>
      <c r="I54" s="19">
        <f>SUMIF('14 Detailed Results'!$A$5:$A$35,F54,'14 Detailed Results'!$H$5:$H$35)</f>
        <v>0</v>
      </c>
      <c r="J54" s="3" t="s">
        <v>392</v>
      </c>
      <c r="K54" s="3"/>
      <c r="L54" s="3"/>
      <c r="M54" s="3"/>
      <c r="N54" s="3" t="str">
        <f t="shared" si="4"/>
        <v>Not provided</v>
      </c>
      <c r="O54" s="3"/>
      <c r="P54" s="3" t="s">
        <v>43</v>
      </c>
      <c r="Q54">
        <f>IF('14 Detailed Results'!O9="","",'14 Detailed Results'!O9)</f>
        <v>0</v>
      </c>
      <c r="R54">
        <f>IF('14 Detailed Results'!P9="","",'14 Detailed Results'!P9)</f>
        <v>0</v>
      </c>
      <c r="S54">
        <f>IF('14 Detailed Results'!Q9="","",'14 Detailed Results'!Q9)</f>
        <v>0</v>
      </c>
      <c r="T54" t="str">
        <f>IF('14 Detailed Results'!R9="","",'14 Detailed Results'!R9)</f>
        <v>Service user</v>
      </c>
      <c r="U54" t="str">
        <f>IF('14 Detailed Results'!S9="","",'14 Detailed Results'!S9)</f>
        <v/>
      </c>
    </row>
    <row r="55" spans="1:21">
      <c r="A55" s="3">
        <f>'02 Hospice Setup'!$B$5</f>
        <v>0</v>
      </c>
      <c r="B55" s="3" t="str">
        <f>'02 Hospice Setup'!$H$5</f>
        <v>Version 5.1</v>
      </c>
      <c r="C55" s="3" t="str">
        <f>'02 Hospice Setup'!$E$6</f>
        <v>Actual</v>
      </c>
      <c r="D55" s="18">
        <f>'02 Hospice Setup'!$H$7</f>
        <v>0</v>
      </c>
      <c r="E55" s="3" t="s">
        <v>114</v>
      </c>
      <c r="F55" s="3" t="s">
        <v>117</v>
      </c>
      <c r="G55" s="3" t="s">
        <v>119</v>
      </c>
      <c r="H55" s="3" t="s">
        <v>704</v>
      </c>
      <c r="I55" s="19" t="str">
        <f>IF('14 Detailed Results'!I9="","",'14 Detailed Results'!I9)</f>
        <v/>
      </c>
      <c r="J55" s="3" t="s">
        <v>61</v>
      </c>
      <c r="K55" s="3"/>
      <c r="L55" s="3"/>
      <c r="M55" s="3"/>
      <c r="N55" s="3" t="str">
        <f t="shared" si="4"/>
        <v>Complete</v>
      </c>
      <c r="O55" s="3"/>
      <c r="P55" s="3" t="s">
        <v>43</v>
      </c>
      <c r="Q55">
        <f>IF('14 Detailed Results'!O9="","",'14 Detailed Results'!O9)</f>
        <v>0</v>
      </c>
      <c r="R55">
        <f>IF('14 Detailed Results'!P9="","",'14 Detailed Results'!P9)</f>
        <v>0</v>
      </c>
      <c r="S55">
        <f>IF('14 Detailed Results'!Q9="","",'14 Detailed Results'!Q9)</f>
        <v>0</v>
      </c>
      <c r="T55" t="str">
        <f>IF('14 Detailed Results'!R9="","",'14 Detailed Results'!R9)</f>
        <v>Service user</v>
      </c>
      <c r="U55" t="str">
        <f>IF('14 Detailed Results'!S9="","",'14 Detailed Results'!S9)</f>
        <v/>
      </c>
    </row>
    <row r="56" spans="1:21">
      <c r="A56" s="3">
        <f>'02 Hospice Setup'!$B$5</f>
        <v>0</v>
      </c>
      <c r="B56" s="3" t="str">
        <f>'02 Hospice Setup'!$H$5</f>
        <v>Version 5.1</v>
      </c>
      <c r="C56" s="3" t="str">
        <f>'02 Hospice Setup'!$E$6</f>
        <v>Actual</v>
      </c>
      <c r="D56" s="18">
        <f>'02 Hospice Setup'!$H$7</f>
        <v>0</v>
      </c>
      <c r="E56" s="3" t="s">
        <v>114</v>
      </c>
      <c r="F56" s="3" t="s">
        <v>117</v>
      </c>
      <c r="G56" s="3" t="s">
        <v>119</v>
      </c>
      <c r="H56" s="3" t="s">
        <v>705</v>
      </c>
      <c r="I56" s="19">
        <f>SUMIF('14 Detailed Results'!$A$5:$A$35,F56,'14 Detailed Results'!$J$5:$J$35)</f>
        <v>0</v>
      </c>
      <c r="J56" s="3" t="s">
        <v>61</v>
      </c>
      <c r="K56" s="3"/>
      <c r="L56" s="3"/>
      <c r="M56" s="3"/>
      <c r="N56" s="3" t="str">
        <f t="shared" si="4"/>
        <v>Not provided</v>
      </c>
      <c r="O56" s="3"/>
      <c r="P56" s="3" t="s">
        <v>43</v>
      </c>
      <c r="Q56">
        <f>IF('14 Detailed Results'!O9="","",'14 Detailed Results'!O9)</f>
        <v>0</v>
      </c>
      <c r="R56">
        <f>IF('14 Detailed Results'!P9="","",'14 Detailed Results'!P9)</f>
        <v>0</v>
      </c>
      <c r="S56">
        <f>IF('14 Detailed Results'!Q9="","",'14 Detailed Results'!Q9)</f>
        <v>0</v>
      </c>
      <c r="T56" t="str">
        <f>IF('14 Detailed Results'!R9="","",'14 Detailed Results'!R9)</f>
        <v>Service user</v>
      </c>
      <c r="U56" t="str">
        <f>IF('14 Detailed Results'!S9="","",'14 Detailed Results'!S9)</f>
        <v/>
      </c>
    </row>
    <row r="57" spans="1:21">
      <c r="A57" s="3">
        <f>'02 Hospice Setup'!$B$5</f>
        <v>0</v>
      </c>
      <c r="B57" s="3" t="str">
        <f>'02 Hospice Setup'!$H$5</f>
        <v>Version 5.1</v>
      </c>
      <c r="C57" s="3" t="str">
        <f>'02 Hospice Setup'!$E$6</f>
        <v>Actual</v>
      </c>
      <c r="D57" s="18">
        <f>'02 Hospice Setup'!$H$7</f>
        <v>0</v>
      </c>
      <c r="E57" s="3" t="s">
        <v>114</v>
      </c>
      <c r="F57" s="3" t="s">
        <v>117</v>
      </c>
      <c r="G57" s="3" t="s">
        <v>119</v>
      </c>
      <c r="H57" s="3" t="s">
        <v>564</v>
      </c>
      <c r="I57" s="19" t="str">
        <f>IF('14 Detailed Results'!K9="","",'14 Detailed Results'!K9)</f>
        <v/>
      </c>
      <c r="J57" s="3" t="s">
        <v>706</v>
      </c>
      <c r="K57" s="3"/>
      <c r="L57" s="3"/>
      <c r="M57" s="3"/>
      <c r="N57" s="3" t="str">
        <f t="shared" si="4"/>
        <v>Complete</v>
      </c>
      <c r="O57" s="3"/>
      <c r="P57" s="3" t="s">
        <v>43</v>
      </c>
      <c r="Q57">
        <f>IF('14 Detailed Results'!O9="","",'14 Detailed Results'!O9)</f>
        <v>0</v>
      </c>
      <c r="R57">
        <f>IF('14 Detailed Results'!P9="","",'14 Detailed Results'!P9)</f>
        <v>0</v>
      </c>
      <c r="S57">
        <f>IF('14 Detailed Results'!Q9="","",'14 Detailed Results'!Q9)</f>
        <v>0</v>
      </c>
      <c r="T57" t="str">
        <f>IF('14 Detailed Results'!R9="","",'14 Detailed Results'!R9)</f>
        <v>Service user</v>
      </c>
      <c r="U57" t="str">
        <f>IF('14 Detailed Results'!S9="","",'14 Detailed Results'!S9)</f>
        <v/>
      </c>
    </row>
    <row r="58" spans="1:21">
      <c r="A58" s="3">
        <f>'02 Hospice Setup'!$B$5</f>
        <v>0</v>
      </c>
      <c r="B58" s="3" t="str">
        <f>'02 Hospice Setup'!$H$5</f>
        <v>Version 5.1</v>
      </c>
      <c r="C58" s="3" t="str">
        <f>'02 Hospice Setup'!$E$6</f>
        <v>Actual</v>
      </c>
      <c r="D58" s="18">
        <f>'02 Hospice Setup'!$H$7</f>
        <v>0</v>
      </c>
      <c r="E58" s="3" t="s">
        <v>114</v>
      </c>
      <c r="F58" s="3" t="s">
        <v>117</v>
      </c>
      <c r="G58" s="3" t="s">
        <v>119</v>
      </c>
      <c r="H58" s="3" t="s">
        <v>708</v>
      </c>
      <c r="I58" s="19">
        <f>SUMIF('14 Detailed Results'!$A$5:$A$35,F58,'14 Detailed Results'!$L$5:$L$35)</f>
        <v>0</v>
      </c>
      <c r="J58" s="3" t="s">
        <v>427</v>
      </c>
      <c r="K58" s="3"/>
      <c r="L58" s="3"/>
      <c r="M58" s="3"/>
      <c r="N58" s="3" t="str">
        <f>IF(SUMIF('14 Detailed Results'!$A$5:$A$35,F58,'14 Detailed Results'!$F$5:$F$35)=0,"Not provided",IF(I58=0,"Not available","Complete"))</f>
        <v>Not provided</v>
      </c>
      <c r="O58" s="3" t="s">
        <v>709</v>
      </c>
      <c r="P58" s="3" t="s">
        <v>43</v>
      </c>
      <c r="Q58">
        <f>IF('14 Detailed Results'!O9="","",'14 Detailed Results'!O9)</f>
        <v>0</v>
      </c>
      <c r="R58">
        <f>IF('14 Detailed Results'!P9="","",'14 Detailed Results'!P9)</f>
        <v>0</v>
      </c>
      <c r="S58">
        <f>IF('14 Detailed Results'!Q9="","",'14 Detailed Results'!Q9)</f>
        <v>0</v>
      </c>
      <c r="T58" t="str">
        <f>IF('14 Detailed Results'!R9="","",'14 Detailed Results'!R9)</f>
        <v>Service user</v>
      </c>
      <c r="U58" t="str">
        <f>IF('14 Detailed Results'!S9="","",'14 Detailed Results'!S9)</f>
        <v/>
      </c>
    </row>
    <row r="59" spans="1:21">
      <c r="A59" s="3">
        <f>'02 Hospice Setup'!$B$5</f>
        <v>0</v>
      </c>
      <c r="B59" s="3" t="str">
        <f>'02 Hospice Setup'!$H$5</f>
        <v>Version 5.1</v>
      </c>
      <c r="C59" s="3" t="str">
        <f>'02 Hospice Setup'!$E$6</f>
        <v>Actual</v>
      </c>
      <c r="D59" s="18">
        <f>'02 Hospice Setup'!$H$7</f>
        <v>0</v>
      </c>
      <c r="E59" s="3" t="s">
        <v>114</v>
      </c>
      <c r="F59" s="3" t="s">
        <v>117</v>
      </c>
      <c r="G59" s="3" t="s">
        <v>119</v>
      </c>
      <c r="H59" s="3" t="s">
        <v>710</v>
      </c>
      <c r="I59" s="19">
        <f>SUMIF('14 Detailed Results'!$A$5:$A$35,F59,'14 Detailed Results'!$M$5:$M$35)</f>
        <v>0</v>
      </c>
      <c r="J59" s="3" t="s">
        <v>61</v>
      </c>
      <c r="K59" s="3"/>
      <c r="L59" s="3"/>
      <c r="M59" s="3"/>
      <c r="N59" s="3" t="str">
        <f>IF(SUMIF('14 Detailed Results'!$A$5:$A$35,F59,'14 Detailed Results'!$F$5:$F$35)=0,"Not provided",IF(I59=0,"Not available","Complete"))</f>
        <v>Not provided</v>
      </c>
      <c r="O59" s="3"/>
      <c r="P59" s="3" t="s">
        <v>43</v>
      </c>
      <c r="Q59">
        <f>IF('14 Detailed Results'!O9="","",'14 Detailed Results'!O9)</f>
        <v>0</v>
      </c>
      <c r="R59">
        <f>IF('14 Detailed Results'!P9="","",'14 Detailed Results'!P9)</f>
        <v>0</v>
      </c>
      <c r="S59">
        <f>IF('14 Detailed Results'!Q9="","",'14 Detailed Results'!Q9)</f>
        <v>0</v>
      </c>
      <c r="T59" t="str">
        <f>IF('14 Detailed Results'!R9="","",'14 Detailed Results'!R9)</f>
        <v>Service user</v>
      </c>
      <c r="U59" t="str">
        <f>IF('14 Detailed Results'!S9="","",'14 Detailed Results'!S9)</f>
        <v/>
      </c>
    </row>
    <row r="60" spans="1:21">
      <c r="A60" s="3">
        <f>'02 Hospice Setup'!$B$5</f>
        <v>0</v>
      </c>
      <c r="B60" s="3" t="str">
        <f>'02 Hospice Setup'!$H$5</f>
        <v>Version 5.1</v>
      </c>
      <c r="C60" s="3" t="str">
        <f>'02 Hospice Setup'!$E$6</f>
        <v>Actual</v>
      </c>
      <c r="D60" s="18">
        <f>'02 Hospice Setup'!$H$7</f>
        <v>0</v>
      </c>
      <c r="E60" s="3" t="s">
        <v>114</v>
      </c>
      <c r="F60" s="3" t="s">
        <v>120</v>
      </c>
      <c r="G60" s="3" t="s">
        <v>121</v>
      </c>
      <c r="H60" s="3" t="s">
        <v>559</v>
      </c>
      <c r="I60" s="19">
        <f>SUMIF('14 Detailed Results'!$A$5:$A$35,F60,'14 Detailed Results'!$C$5:$C$35)</f>
        <v>0</v>
      </c>
      <c r="J60" s="3" t="s">
        <v>61</v>
      </c>
      <c r="K60" s="3"/>
      <c r="L60" s="3"/>
      <c r="M60" s="3"/>
      <c r="N60" s="3" t="str">
        <f t="shared" ref="N60:N68" si="5">IF(I60=0,"Not provided","Complete")</f>
        <v>Not provided</v>
      </c>
      <c r="O60" s="3"/>
      <c r="P60" s="3" t="s">
        <v>43</v>
      </c>
      <c r="Q60">
        <f>IF('14 Detailed Results'!O10="","",'14 Detailed Results'!O10)</f>
        <v>0</v>
      </c>
      <c r="R60">
        <f>IF('14 Detailed Results'!P10="","",'14 Detailed Results'!P10)</f>
        <v>0</v>
      </c>
      <c r="S60">
        <f>IF('14 Detailed Results'!Q10="","",'14 Detailed Results'!Q10)</f>
        <v>0</v>
      </c>
      <c r="T60" t="str">
        <f>IF('14 Detailed Results'!R10="","",'14 Detailed Results'!R10)</f>
        <v>Service user</v>
      </c>
      <c r="U60" t="str">
        <f>IF('14 Detailed Results'!S10="","",'14 Detailed Results'!S10)</f>
        <v/>
      </c>
    </row>
    <row r="61" spans="1:21">
      <c r="A61" s="3">
        <f>'02 Hospice Setup'!$B$5</f>
        <v>0</v>
      </c>
      <c r="B61" s="3" t="str">
        <f>'02 Hospice Setup'!$H$5</f>
        <v>Version 5.1</v>
      </c>
      <c r="C61" s="3" t="str">
        <f>'02 Hospice Setup'!$E$6</f>
        <v>Actual</v>
      </c>
      <c r="D61" s="18">
        <f>'02 Hospice Setup'!$H$7</f>
        <v>0</v>
      </c>
      <c r="E61" s="3" t="s">
        <v>114</v>
      </c>
      <c r="F61" s="3" t="s">
        <v>120</v>
      </c>
      <c r="G61" s="3" t="s">
        <v>121</v>
      </c>
      <c r="H61" s="3" t="s">
        <v>560</v>
      </c>
      <c r="I61" s="19">
        <f>SUMIF('14 Detailed Results'!$A$5:$A$35,F61,'14 Detailed Results'!$D$5:$D$35)</f>
        <v>0</v>
      </c>
      <c r="J61" s="3" t="s">
        <v>61</v>
      </c>
      <c r="K61" s="3"/>
      <c r="L61" s="3"/>
      <c r="M61" s="3"/>
      <c r="N61" s="3" t="str">
        <f t="shared" si="5"/>
        <v>Not provided</v>
      </c>
      <c r="O61" s="3"/>
      <c r="P61" s="3" t="s">
        <v>43</v>
      </c>
      <c r="Q61">
        <f>IF('14 Detailed Results'!O10="","",'14 Detailed Results'!O10)</f>
        <v>0</v>
      </c>
      <c r="R61">
        <f>IF('14 Detailed Results'!P10="","",'14 Detailed Results'!P10)</f>
        <v>0</v>
      </c>
      <c r="S61">
        <f>IF('14 Detailed Results'!Q10="","",'14 Detailed Results'!Q10)</f>
        <v>0</v>
      </c>
      <c r="T61" t="str">
        <f>IF('14 Detailed Results'!R10="","",'14 Detailed Results'!R10)</f>
        <v>Service user</v>
      </c>
      <c r="U61" t="str">
        <f>IF('14 Detailed Results'!S10="","",'14 Detailed Results'!S10)</f>
        <v/>
      </c>
    </row>
    <row r="62" spans="1:21">
      <c r="A62" s="3">
        <f>'02 Hospice Setup'!$B$5</f>
        <v>0</v>
      </c>
      <c r="B62" s="3" t="str">
        <f>'02 Hospice Setup'!$H$5</f>
        <v>Version 5.1</v>
      </c>
      <c r="C62" s="3" t="str">
        <f>'02 Hospice Setup'!$E$6</f>
        <v>Actual</v>
      </c>
      <c r="D62" s="18">
        <f>'02 Hospice Setup'!$H$7</f>
        <v>0</v>
      </c>
      <c r="E62" s="3" t="s">
        <v>114</v>
      </c>
      <c r="F62" s="3" t="s">
        <v>120</v>
      </c>
      <c r="G62" s="3" t="s">
        <v>121</v>
      </c>
      <c r="H62" s="3" t="s">
        <v>570</v>
      </c>
      <c r="I62" s="19">
        <f>SUMIF('14 Detailed Results'!$A$5:$A$35,F62,'14 Detailed Results'!$E$5:$E$35)</f>
        <v>0</v>
      </c>
      <c r="J62" s="3" t="s">
        <v>61</v>
      </c>
      <c r="K62" s="3"/>
      <c r="L62" s="3"/>
      <c r="M62" s="3"/>
      <c r="N62" s="3" t="str">
        <f t="shared" si="5"/>
        <v>Not provided</v>
      </c>
      <c r="O62" s="3"/>
      <c r="P62" s="3" t="s">
        <v>43</v>
      </c>
      <c r="Q62">
        <f>IF('14 Detailed Results'!O10="","",'14 Detailed Results'!O10)</f>
        <v>0</v>
      </c>
      <c r="R62">
        <f>IF('14 Detailed Results'!P10="","",'14 Detailed Results'!P10)</f>
        <v>0</v>
      </c>
      <c r="S62">
        <f>IF('14 Detailed Results'!Q10="","",'14 Detailed Results'!Q10)</f>
        <v>0</v>
      </c>
      <c r="T62" t="str">
        <f>IF('14 Detailed Results'!R10="","",'14 Detailed Results'!R10)</f>
        <v>Service user</v>
      </c>
      <c r="U62" t="str">
        <f>IF('14 Detailed Results'!S10="","",'14 Detailed Results'!S10)</f>
        <v/>
      </c>
    </row>
    <row r="63" spans="1:21">
      <c r="A63" s="3">
        <f>'02 Hospice Setup'!$B$5</f>
        <v>0</v>
      </c>
      <c r="B63" s="3" t="str">
        <f>'02 Hospice Setup'!$H$5</f>
        <v>Version 5.1</v>
      </c>
      <c r="C63" s="3" t="str">
        <f>'02 Hospice Setup'!$E$6</f>
        <v>Actual</v>
      </c>
      <c r="D63" s="18">
        <f>'02 Hospice Setup'!$H$7</f>
        <v>0</v>
      </c>
      <c r="E63" s="3" t="s">
        <v>114</v>
      </c>
      <c r="F63" s="3" t="s">
        <v>120</v>
      </c>
      <c r="G63" s="3" t="s">
        <v>121</v>
      </c>
      <c r="H63" s="3" t="s">
        <v>561</v>
      </c>
      <c r="I63" s="19">
        <f>SUMIF('14 Detailed Results'!$A$5:$A$35,F63,'14 Detailed Results'!$F$5:$F$35)</f>
        <v>0</v>
      </c>
      <c r="J63" s="3" t="s">
        <v>61</v>
      </c>
      <c r="K63" s="3"/>
      <c r="L63" s="3"/>
      <c r="M63" s="3"/>
      <c r="N63" s="3" t="str">
        <f t="shared" si="5"/>
        <v>Not provided</v>
      </c>
      <c r="O63" s="3"/>
      <c r="P63" s="3" t="s">
        <v>43</v>
      </c>
      <c r="Q63">
        <f>IF('14 Detailed Results'!O10="","",'14 Detailed Results'!O10)</f>
        <v>0</v>
      </c>
      <c r="R63">
        <f>IF('14 Detailed Results'!P10="","",'14 Detailed Results'!P10)</f>
        <v>0</v>
      </c>
      <c r="S63">
        <f>IF('14 Detailed Results'!Q10="","",'14 Detailed Results'!Q10)</f>
        <v>0</v>
      </c>
      <c r="T63" t="str">
        <f>IF('14 Detailed Results'!R10="","",'14 Detailed Results'!R10)</f>
        <v>Service user</v>
      </c>
      <c r="U63" t="str">
        <f>IF('14 Detailed Results'!S10="","",'14 Detailed Results'!S10)</f>
        <v/>
      </c>
    </row>
    <row r="64" spans="1:21">
      <c r="A64" s="3">
        <f>'02 Hospice Setup'!$B$5</f>
        <v>0</v>
      </c>
      <c r="B64" s="3" t="str">
        <f>'02 Hospice Setup'!$H$5</f>
        <v>Version 5.1</v>
      </c>
      <c r="C64" s="3" t="str">
        <f>'02 Hospice Setup'!$E$6</f>
        <v>Actual</v>
      </c>
      <c r="D64" s="18">
        <f>'02 Hospice Setup'!$H$7</f>
        <v>0</v>
      </c>
      <c r="E64" s="3" t="s">
        <v>114</v>
      </c>
      <c r="F64" s="3" t="s">
        <v>120</v>
      </c>
      <c r="G64" s="3" t="s">
        <v>121</v>
      </c>
      <c r="H64" s="3" t="s">
        <v>382</v>
      </c>
      <c r="I64" s="19">
        <f>SUMIF('14 Detailed Results'!$A$5:$A$35,F64,'14 Detailed Results'!$G$5:$G$35)</f>
        <v>0</v>
      </c>
      <c r="J64" s="3" t="s">
        <v>396</v>
      </c>
      <c r="K64" s="3"/>
      <c r="L64" s="3"/>
      <c r="M64" s="3"/>
      <c r="N64" s="3" t="str">
        <f t="shared" si="5"/>
        <v>Not provided</v>
      </c>
      <c r="O64" s="3"/>
      <c r="P64" s="3" t="s">
        <v>43</v>
      </c>
      <c r="Q64">
        <f>IF('14 Detailed Results'!O10="","",'14 Detailed Results'!O10)</f>
        <v>0</v>
      </c>
      <c r="R64">
        <f>IF('14 Detailed Results'!P10="","",'14 Detailed Results'!P10)</f>
        <v>0</v>
      </c>
      <c r="S64">
        <f>IF('14 Detailed Results'!Q10="","",'14 Detailed Results'!Q10)</f>
        <v>0</v>
      </c>
      <c r="T64" t="str">
        <f>IF('14 Detailed Results'!R10="","",'14 Detailed Results'!R10)</f>
        <v>Service user</v>
      </c>
      <c r="U64" t="str">
        <f>IF('14 Detailed Results'!S10="","",'14 Detailed Results'!S10)</f>
        <v/>
      </c>
    </row>
    <row r="65" spans="1:21">
      <c r="A65" s="3">
        <f>'02 Hospice Setup'!$B$5</f>
        <v>0</v>
      </c>
      <c r="B65" s="3" t="str">
        <f>'02 Hospice Setup'!$H$5</f>
        <v>Version 5.1</v>
      </c>
      <c r="C65" s="3" t="str">
        <f>'02 Hospice Setup'!$E$6</f>
        <v>Actual</v>
      </c>
      <c r="D65" s="18">
        <f>'02 Hospice Setup'!$H$7</f>
        <v>0</v>
      </c>
      <c r="E65" s="3" t="s">
        <v>114</v>
      </c>
      <c r="F65" s="3" t="s">
        <v>120</v>
      </c>
      <c r="G65" s="3" t="s">
        <v>121</v>
      </c>
      <c r="H65" s="3" t="s">
        <v>386</v>
      </c>
      <c r="I65" s="19">
        <f>SUMIF('14 Detailed Results'!$A$5:$A$35,F65,'14 Detailed Results'!$H$5:$H$35)</f>
        <v>0</v>
      </c>
      <c r="J65" s="3" t="s">
        <v>396</v>
      </c>
      <c r="K65" s="3"/>
      <c r="L65" s="3"/>
      <c r="M65" s="3"/>
      <c r="N65" s="3" t="str">
        <f t="shared" si="5"/>
        <v>Not provided</v>
      </c>
      <c r="O65" s="3"/>
      <c r="P65" s="3" t="s">
        <v>43</v>
      </c>
      <c r="Q65">
        <f>IF('14 Detailed Results'!O10="","",'14 Detailed Results'!O10)</f>
        <v>0</v>
      </c>
      <c r="R65">
        <f>IF('14 Detailed Results'!P10="","",'14 Detailed Results'!P10)</f>
        <v>0</v>
      </c>
      <c r="S65">
        <f>IF('14 Detailed Results'!Q10="","",'14 Detailed Results'!Q10)</f>
        <v>0</v>
      </c>
      <c r="T65" t="str">
        <f>IF('14 Detailed Results'!R10="","",'14 Detailed Results'!R10)</f>
        <v>Service user</v>
      </c>
      <c r="U65" t="str">
        <f>IF('14 Detailed Results'!S10="","",'14 Detailed Results'!S10)</f>
        <v/>
      </c>
    </row>
    <row r="66" spans="1:21">
      <c r="A66" s="3">
        <f>'02 Hospice Setup'!$B$5</f>
        <v>0</v>
      </c>
      <c r="B66" s="3" t="str">
        <f>'02 Hospice Setup'!$H$5</f>
        <v>Version 5.1</v>
      </c>
      <c r="C66" s="3" t="str">
        <f>'02 Hospice Setup'!$E$6</f>
        <v>Actual</v>
      </c>
      <c r="D66" s="18">
        <f>'02 Hospice Setup'!$H$7</f>
        <v>0</v>
      </c>
      <c r="E66" s="3" t="s">
        <v>114</v>
      </c>
      <c r="F66" s="3" t="s">
        <v>120</v>
      </c>
      <c r="G66" s="3" t="s">
        <v>121</v>
      </c>
      <c r="H66" s="3" t="s">
        <v>704</v>
      </c>
      <c r="I66" s="19">
        <f>SUMIF('14 Detailed Results'!$A$5:$A$35,F66,'14 Detailed Results'!$I$5:$I$35)</f>
        <v>0</v>
      </c>
      <c r="J66" s="3" t="s">
        <v>61</v>
      </c>
      <c r="K66" s="3"/>
      <c r="L66" s="3"/>
      <c r="M66" s="3"/>
      <c r="N66" s="3" t="str">
        <f t="shared" si="5"/>
        <v>Not provided</v>
      </c>
      <c r="O66" s="3"/>
      <c r="P66" s="3" t="s">
        <v>43</v>
      </c>
      <c r="Q66">
        <f>IF('14 Detailed Results'!O10="","",'14 Detailed Results'!O10)</f>
        <v>0</v>
      </c>
      <c r="R66">
        <f>IF('14 Detailed Results'!P10="","",'14 Detailed Results'!P10)</f>
        <v>0</v>
      </c>
      <c r="S66">
        <f>IF('14 Detailed Results'!Q10="","",'14 Detailed Results'!Q10)</f>
        <v>0</v>
      </c>
      <c r="T66" t="str">
        <f>IF('14 Detailed Results'!R10="","",'14 Detailed Results'!R10)</f>
        <v>Service user</v>
      </c>
      <c r="U66" t="str">
        <f>IF('14 Detailed Results'!S10="","",'14 Detailed Results'!S10)</f>
        <v/>
      </c>
    </row>
    <row r="67" spans="1:21">
      <c r="A67" s="3">
        <f>'02 Hospice Setup'!$B$5</f>
        <v>0</v>
      </c>
      <c r="B67" s="3" t="str">
        <f>'02 Hospice Setup'!$H$5</f>
        <v>Version 5.1</v>
      </c>
      <c r="C67" s="3" t="str">
        <f>'02 Hospice Setup'!$E$6</f>
        <v>Actual</v>
      </c>
      <c r="D67" s="18">
        <f>'02 Hospice Setup'!$H$7</f>
        <v>0</v>
      </c>
      <c r="E67" s="3" t="s">
        <v>114</v>
      </c>
      <c r="F67" s="3" t="s">
        <v>120</v>
      </c>
      <c r="G67" s="3" t="s">
        <v>121</v>
      </c>
      <c r="H67" s="3" t="s">
        <v>705</v>
      </c>
      <c r="I67" s="19">
        <f>SUMIF('14 Detailed Results'!$A$5:$A$35,F67,'14 Detailed Results'!$J$5:$J$35)</f>
        <v>0</v>
      </c>
      <c r="J67" s="3" t="s">
        <v>61</v>
      </c>
      <c r="K67" s="3"/>
      <c r="L67" s="3"/>
      <c r="M67" s="3"/>
      <c r="N67" s="3" t="str">
        <f t="shared" si="5"/>
        <v>Not provided</v>
      </c>
      <c r="O67" s="3"/>
      <c r="P67" s="3" t="s">
        <v>43</v>
      </c>
      <c r="Q67">
        <f>IF('14 Detailed Results'!O10="","",'14 Detailed Results'!O10)</f>
        <v>0</v>
      </c>
      <c r="R67">
        <f>IF('14 Detailed Results'!P10="","",'14 Detailed Results'!P10)</f>
        <v>0</v>
      </c>
      <c r="S67">
        <f>IF('14 Detailed Results'!Q10="","",'14 Detailed Results'!Q10)</f>
        <v>0</v>
      </c>
      <c r="T67" t="str">
        <f>IF('14 Detailed Results'!R10="","",'14 Detailed Results'!R10)</f>
        <v>Service user</v>
      </c>
      <c r="U67" t="str">
        <f>IF('14 Detailed Results'!S10="","",'14 Detailed Results'!S10)</f>
        <v/>
      </c>
    </row>
    <row r="68" spans="1:21">
      <c r="A68" s="3">
        <f>'02 Hospice Setup'!$B$5</f>
        <v>0</v>
      </c>
      <c r="B68" s="3" t="str">
        <f>'02 Hospice Setup'!$H$5</f>
        <v>Version 5.1</v>
      </c>
      <c r="C68" s="3" t="str">
        <f>'02 Hospice Setup'!$E$6</f>
        <v>Actual</v>
      </c>
      <c r="D68" s="18">
        <f>'02 Hospice Setup'!$H$7</f>
        <v>0</v>
      </c>
      <c r="E68" s="3" t="s">
        <v>114</v>
      </c>
      <c r="F68" s="3" t="s">
        <v>120</v>
      </c>
      <c r="G68" s="3" t="s">
        <v>121</v>
      </c>
      <c r="H68" s="3" t="s">
        <v>564</v>
      </c>
      <c r="I68" s="19">
        <f>SUMIF('14 Detailed Results'!$A$5:$A$35,F68,'14 Detailed Results'!$K$5:$K$35)</f>
        <v>0</v>
      </c>
      <c r="J68" s="3" t="s">
        <v>706</v>
      </c>
      <c r="K68" s="3"/>
      <c r="L68" s="3"/>
      <c r="M68" s="3"/>
      <c r="N68" s="3" t="str">
        <f t="shared" si="5"/>
        <v>Not provided</v>
      </c>
      <c r="O68" s="3"/>
      <c r="P68" s="3" t="s">
        <v>43</v>
      </c>
      <c r="Q68">
        <f>IF('14 Detailed Results'!O10="","",'14 Detailed Results'!O10)</f>
        <v>0</v>
      </c>
      <c r="R68">
        <f>IF('14 Detailed Results'!P10="","",'14 Detailed Results'!P10)</f>
        <v>0</v>
      </c>
      <c r="S68">
        <f>IF('14 Detailed Results'!Q10="","",'14 Detailed Results'!Q10)</f>
        <v>0</v>
      </c>
      <c r="T68" t="str">
        <f>IF('14 Detailed Results'!R10="","",'14 Detailed Results'!R10)</f>
        <v>Service user</v>
      </c>
      <c r="U68" t="str">
        <f>IF('14 Detailed Results'!S10="","",'14 Detailed Results'!S10)</f>
        <v/>
      </c>
    </row>
    <row r="69" spans="1:21">
      <c r="A69" s="3">
        <f>'02 Hospice Setup'!$B$5</f>
        <v>0</v>
      </c>
      <c r="B69" s="3" t="str">
        <f>'02 Hospice Setup'!$H$5</f>
        <v>Version 5.1</v>
      </c>
      <c r="C69" s="3" t="str">
        <f>'02 Hospice Setup'!$E$6</f>
        <v>Actual</v>
      </c>
      <c r="D69" s="18">
        <f>'02 Hospice Setup'!$H$7</f>
        <v>0</v>
      </c>
      <c r="E69" s="3" t="s">
        <v>114</v>
      </c>
      <c r="F69" s="3" t="s">
        <v>120</v>
      </c>
      <c r="G69" s="3" t="s">
        <v>121</v>
      </c>
      <c r="H69" s="3" t="s">
        <v>708</v>
      </c>
      <c r="I69" s="19">
        <f>SUMIF('14 Detailed Results'!$A$5:$A$35,F69,'14 Detailed Results'!$L$5:$L$35)</f>
        <v>0</v>
      </c>
      <c r="J69" s="3" t="s">
        <v>427</v>
      </c>
      <c r="K69" s="3"/>
      <c r="L69" s="3"/>
      <c r="M69" s="3"/>
      <c r="N69" s="3" t="str">
        <f>IF(SUMIF('14 Detailed Results'!$A$5:$A$35,F69,'14 Detailed Results'!$F$5:$F$35)=0,"Not provided",IF(I69=0,"Not available","Complete"))</f>
        <v>Not provided</v>
      </c>
      <c r="O69" s="3" t="s">
        <v>709</v>
      </c>
      <c r="P69" s="3" t="s">
        <v>43</v>
      </c>
      <c r="Q69">
        <f>IF('14 Detailed Results'!O10="","",'14 Detailed Results'!O10)</f>
        <v>0</v>
      </c>
      <c r="R69">
        <f>IF('14 Detailed Results'!P10="","",'14 Detailed Results'!P10)</f>
        <v>0</v>
      </c>
      <c r="S69">
        <f>IF('14 Detailed Results'!Q10="","",'14 Detailed Results'!Q10)</f>
        <v>0</v>
      </c>
      <c r="T69" t="str">
        <f>IF('14 Detailed Results'!R10="","",'14 Detailed Results'!R10)</f>
        <v>Service user</v>
      </c>
      <c r="U69" t="str">
        <f>IF('14 Detailed Results'!S10="","",'14 Detailed Results'!S10)</f>
        <v/>
      </c>
    </row>
    <row r="70" spans="1:21">
      <c r="A70" s="3">
        <f>'02 Hospice Setup'!$B$5</f>
        <v>0</v>
      </c>
      <c r="B70" s="3" t="str">
        <f>'02 Hospice Setup'!$H$5</f>
        <v>Version 5.1</v>
      </c>
      <c r="C70" s="3" t="str">
        <f>'02 Hospice Setup'!$E$6</f>
        <v>Actual</v>
      </c>
      <c r="D70" s="18">
        <f>'02 Hospice Setup'!$H$7</f>
        <v>0</v>
      </c>
      <c r="E70" s="3" t="s">
        <v>114</v>
      </c>
      <c r="F70" s="3" t="s">
        <v>120</v>
      </c>
      <c r="G70" s="3" t="s">
        <v>121</v>
      </c>
      <c r="H70" s="3" t="s">
        <v>710</v>
      </c>
      <c r="I70" s="19">
        <f>SUMIF('14 Detailed Results'!$A$5:$A$35,F70,'14 Detailed Results'!$M$5:$M$35)</f>
        <v>0</v>
      </c>
      <c r="J70" s="3" t="s">
        <v>61</v>
      </c>
      <c r="K70" s="3"/>
      <c r="L70" s="3"/>
      <c r="M70" s="3"/>
      <c r="N70" s="3" t="str">
        <f>IF(SUMIF('14 Detailed Results'!$A$5:$A$35,F70,'14 Detailed Results'!$F$5:$F$35)=0,"Not provided",IF(I70=0,"Not available","Complete"))</f>
        <v>Not provided</v>
      </c>
      <c r="O70" s="3"/>
      <c r="P70" s="3" t="s">
        <v>43</v>
      </c>
      <c r="Q70">
        <f>IF('14 Detailed Results'!O10="","",'14 Detailed Results'!O10)</f>
        <v>0</v>
      </c>
      <c r="R70">
        <f>IF('14 Detailed Results'!P10="","",'14 Detailed Results'!P10)</f>
        <v>0</v>
      </c>
      <c r="S70">
        <f>IF('14 Detailed Results'!Q10="","",'14 Detailed Results'!Q10)</f>
        <v>0</v>
      </c>
      <c r="T70" t="str">
        <f>IF('14 Detailed Results'!R10="","",'14 Detailed Results'!R10)</f>
        <v>Service user</v>
      </c>
      <c r="U70" t="str">
        <f>IF('14 Detailed Results'!S10="","",'14 Detailed Results'!S10)</f>
        <v/>
      </c>
    </row>
    <row r="71" spans="1:21">
      <c r="A71" s="3">
        <f>'02 Hospice Setup'!$B$5</f>
        <v>0</v>
      </c>
      <c r="B71" s="3" t="str">
        <f>'02 Hospice Setup'!$H$5</f>
        <v>Version 5.1</v>
      </c>
      <c r="C71" s="3" t="str">
        <f>'02 Hospice Setup'!$E$6</f>
        <v>Actual</v>
      </c>
      <c r="D71" s="18">
        <f>'02 Hospice Setup'!$H$7</f>
        <v>0</v>
      </c>
      <c r="E71" s="3" t="s">
        <v>114</v>
      </c>
      <c r="F71" s="3" t="s">
        <v>125</v>
      </c>
      <c r="G71" s="3" t="s">
        <v>126</v>
      </c>
      <c r="H71" s="3" t="s">
        <v>559</v>
      </c>
      <c r="I71" s="19">
        <f>SUMIF('14 Detailed Results'!$A$5:$A$35,F71,'14 Detailed Results'!$C$5:$C$35)</f>
        <v>0</v>
      </c>
      <c r="J71" s="3" t="s">
        <v>61</v>
      </c>
      <c r="K71" s="3"/>
      <c r="L71" s="3"/>
      <c r="M71" s="3"/>
      <c r="N71" s="3" t="str">
        <f t="shared" ref="N71:N79" si="6">IF(I71=0,"Not provided","Complete")</f>
        <v>Not provided</v>
      </c>
      <c r="O71" s="3"/>
      <c r="P71" s="3" t="s">
        <v>43</v>
      </c>
      <c r="Q71">
        <f>IF('14 Detailed Results'!O11="","",'14 Detailed Results'!O11)</f>
        <v>0</v>
      </c>
      <c r="R71">
        <f>IF('14 Detailed Results'!P11="","",'14 Detailed Results'!P11)</f>
        <v>0</v>
      </c>
      <c r="S71">
        <f>IF('14 Detailed Results'!Q11="","",'14 Detailed Results'!Q11)</f>
        <v>0</v>
      </c>
      <c r="T71" t="str">
        <f>IF('14 Detailed Results'!R11="","",'14 Detailed Results'!R11)</f>
        <v>Service user</v>
      </c>
      <c r="U71" t="str">
        <f>IF('14 Detailed Results'!S11="","",'14 Detailed Results'!S11)</f>
        <v/>
      </c>
    </row>
    <row r="72" spans="1:21">
      <c r="A72" s="3">
        <f>'02 Hospice Setup'!$B$5</f>
        <v>0</v>
      </c>
      <c r="B72" s="3" t="str">
        <f>'02 Hospice Setup'!$H$5</f>
        <v>Version 5.1</v>
      </c>
      <c r="C72" s="3" t="str">
        <f>'02 Hospice Setup'!$E$6</f>
        <v>Actual</v>
      </c>
      <c r="D72" s="18">
        <f>'02 Hospice Setup'!$H$7</f>
        <v>0</v>
      </c>
      <c r="E72" s="3" t="s">
        <v>114</v>
      </c>
      <c r="F72" s="3" t="s">
        <v>125</v>
      </c>
      <c r="G72" s="3" t="s">
        <v>126</v>
      </c>
      <c r="H72" s="3" t="s">
        <v>560</v>
      </c>
      <c r="I72" s="19">
        <f>SUMIF('14 Detailed Results'!$A$5:$A$35,F72,'14 Detailed Results'!$D$5:$D$35)</f>
        <v>0</v>
      </c>
      <c r="J72" s="3" t="s">
        <v>61</v>
      </c>
      <c r="K72" s="3"/>
      <c r="L72" s="3"/>
      <c r="M72" s="3"/>
      <c r="N72" s="3" t="str">
        <f t="shared" si="6"/>
        <v>Not provided</v>
      </c>
      <c r="O72" s="3"/>
      <c r="P72" s="3" t="s">
        <v>43</v>
      </c>
      <c r="Q72">
        <f>IF('14 Detailed Results'!O11="","",'14 Detailed Results'!O11)</f>
        <v>0</v>
      </c>
      <c r="R72">
        <f>IF('14 Detailed Results'!P11="","",'14 Detailed Results'!P11)</f>
        <v>0</v>
      </c>
      <c r="S72">
        <f>IF('14 Detailed Results'!Q11="","",'14 Detailed Results'!Q11)</f>
        <v>0</v>
      </c>
      <c r="T72" t="str">
        <f>IF('14 Detailed Results'!R11="","",'14 Detailed Results'!R11)</f>
        <v>Service user</v>
      </c>
      <c r="U72" t="str">
        <f>IF('14 Detailed Results'!S11="","",'14 Detailed Results'!S11)</f>
        <v/>
      </c>
    </row>
    <row r="73" spans="1:21">
      <c r="A73" s="3">
        <f>'02 Hospice Setup'!$B$5</f>
        <v>0</v>
      </c>
      <c r="B73" s="3" t="str">
        <f>'02 Hospice Setup'!$H$5</f>
        <v>Version 5.1</v>
      </c>
      <c r="C73" s="3" t="str">
        <f>'02 Hospice Setup'!$E$6</f>
        <v>Actual</v>
      </c>
      <c r="D73" s="18">
        <f>'02 Hospice Setup'!$H$7</f>
        <v>0</v>
      </c>
      <c r="E73" s="3" t="s">
        <v>114</v>
      </c>
      <c r="F73" s="3" t="s">
        <v>125</v>
      </c>
      <c r="G73" s="3" t="s">
        <v>126</v>
      </c>
      <c r="H73" s="3" t="s">
        <v>570</v>
      </c>
      <c r="I73" s="19">
        <f>SUMIF('14 Detailed Results'!$A$5:$A$35,F73,'14 Detailed Results'!$E$5:$E$35)</f>
        <v>0</v>
      </c>
      <c r="J73" s="3" t="s">
        <v>61</v>
      </c>
      <c r="K73" s="3"/>
      <c r="L73" s="3"/>
      <c r="M73" s="3"/>
      <c r="N73" s="3" t="str">
        <f t="shared" si="6"/>
        <v>Not provided</v>
      </c>
      <c r="O73" s="3"/>
      <c r="P73" s="3" t="s">
        <v>43</v>
      </c>
      <c r="Q73">
        <f>IF('14 Detailed Results'!O11="","",'14 Detailed Results'!O11)</f>
        <v>0</v>
      </c>
      <c r="R73">
        <f>IF('14 Detailed Results'!P11="","",'14 Detailed Results'!P11)</f>
        <v>0</v>
      </c>
      <c r="S73">
        <f>IF('14 Detailed Results'!Q11="","",'14 Detailed Results'!Q11)</f>
        <v>0</v>
      </c>
      <c r="T73" t="str">
        <f>IF('14 Detailed Results'!R11="","",'14 Detailed Results'!R11)</f>
        <v>Service user</v>
      </c>
      <c r="U73" t="str">
        <f>IF('14 Detailed Results'!S11="","",'14 Detailed Results'!S11)</f>
        <v/>
      </c>
    </row>
    <row r="74" spans="1:21">
      <c r="A74" s="3">
        <f>'02 Hospice Setup'!$B$5</f>
        <v>0</v>
      </c>
      <c r="B74" s="3" t="str">
        <f>'02 Hospice Setup'!$H$5</f>
        <v>Version 5.1</v>
      </c>
      <c r="C74" s="3" t="str">
        <f>'02 Hospice Setup'!$E$6</f>
        <v>Actual</v>
      </c>
      <c r="D74" s="18">
        <f>'02 Hospice Setup'!$H$7</f>
        <v>0</v>
      </c>
      <c r="E74" s="3" t="s">
        <v>114</v>
      </c>
      <c r="F74" s="3" t="s">
        <v>125</v>
      </c>
      <c r="G74" s="3" t="s">
        <v>126</v>
      </c>
      <c r="H74" s="3" t="s">
        <v>561</v>
      </c>
      <c r="I74" s="19">
        <f>SUMIF('14 Detailed Results'!$A$5:$A$35,F74,'14 Detailed Results'!$F$5:$F$35)</f>
        <v>0</v>
      </c>
      <c r="J74" s="3" t="s">
        <v>61</v>
      </c>
      <c r="K74" s="3"/>
      <c r="L74" s="3"/>
      <c r="M74" s="3"/>
      <c r="N74" s="3" t="str">
        <f t="shared" si="6"/>
        <v>Not provided</v>
      </c>
      <c r="O74" s="3"/>
      <c r="P74" s="3" t="s">
        <v>43</v>
      </c>
      <c r="Q74">
        <f>IF('14 Detailed Results'!O11="","",'14 Detailed Results'!O11)</f>
        <v>0</v>
      </c>
      <c r="R74">
        <f>IF('14 Detailed Results'!P11="","",'14 Detailed Results'!P11)</f>
        <v>0</v>
      </c>
      <c r="S74">
        <f>IF('14 Detailed Results'!Q11="","",'14 Detailed Results'!Q11)</f>
        <v>0</v>
      </c>
      <c r="T74" t="str">
        <f>IF('14 Detailed Results'!R11="","",'14 Detailed Results'!R11)</f>
        <v>Service user</v>
      </c>
      <c r="U74" t="str">
        <f>IF('14 Detailed Results'!S11="","",'14 Detailed Results'!S11)</f>
        <v/>
      </c>
    </row>
    <row r="75" spans="1:21">
      <c r="A75" s="3">
        <f>'02 Hospice Setup'!$B$5</f>
        <v>0</v>
      </c>
      <c r="B75" s="3" t="str">
        <f>'02 Hospice Setup'!$H$5</f>
        <v>Version 5.1</v>
      </c>
      <c r="C75" s="3" t="str">
        <f>'02 Hospice Setup'!$E$6</f>
        <v>Actual</v>
      </c>
      <c r="D75" s="18">
        <f>'02 Hospice Setup'!$H$7</f>
        <v>0</v>
      </c>
      <c r="E75" s="3" t="s">
        <v>114</v>
      </c>
      <c r="F75" s="3" t="s">
        <v>125</v>
      </c>
      <c r="G75" s="3" t="s">
        <v>126</v>
      </c>
      <c r="H75" s="3" t="s">
        <v>382</v>
      </c>
      <c r="I75" s="19">
        <f>SUMIF('14 Detailed Results'!$A$5:$A$35,F75,'14 Detailed Results'!$G$5:$G$35)</f>
        <v>0</v>
      </c>
      <c r="J75" s="3" t="s">
        <v>396</v>
      </c>
      <c r="K75" s="3"/>
      <c r="L75" s="3"/>
      <c r="M75" s="3"/>
      <c r="N75" s="3" t="str">
        <f t="shared" si="6"/>
        <v>Not provided</v>
      </c>
      <c r="O75" s="3"/>
      <c r="P75" s="3" t="s">
        <v>43</v>
      </c>
      <c r="Q75">
        <f>IF('14 Detailed Results'!O11="","",'14 Detailed Results'!O11)</f>
        <v>0</v>
      </c>
      <c r="R75">
        <f>IF('14 Detailed Results'!P11="","",'14 Detailed Results'!P11)</f>
        <v>0</v>
      </c>
      <c r="S75">
        <f>IF('14 Detailed Results'!Q11="","",'14 Detailed Results'!Q11)</f>
        <v>0</v>
      </c>
      <c r="T75" t="str">
        <f>IF('14 Detailed Results'!R11="","",'14 Detailed Results'!R11)</f>
        <v>Service user</v>
      </c>
      <c r="U75" t="str">
        <f>IF('14 Detailed Results'!S11="","",'14 Detailed Results'!S11)</f>
        <v/>
      </c>
    </row>
    <row r="76" spans="1:21">
      <c r="A76" s="3">
        <f>'02 Hospice Setup'!$B$5</f>
        <v>0</v>
      </c>
      <c r="B76" s="3" t="str">
        <f>'02 Hospice Setup'!$H$5</f>
        <v>Version 5.1</v>
      </c>
      <c r="C76" s="3" t="str">
        <f>'02 Hospice Setup'!$E$6</f>
        <v>Actual</v>
      </c>
      <c r="D76" s="18">
        <f>'02 Hospice Setup'!$H$7</f>
        <v>0</v>
      </c>
      <c r="E76" s="3" t="s">
        <v>114</v>
      </c>
      <c r="F76" s="3" t="s">
        <v>125</v>
      </c>
      <c r="G76" s="3" t="s">
        <v>126</v>
      </c>
      <c r="H76" s="3" t="s">
        <v>386</v>
      </c>
      <c r="I76" s="19">
        <f>SUMIF('14 Detailed Results'!$A$5:$A$35,F76,'14 Detailed Results'!$H$5:$H$35)</f>
        <v>0</v>
      </c>
      <c r="J76" s="3" t="s">
        <v>396</v>
      </c>
      <c r="K76" s="3"/>
      <c r="L76" s="3"/>
      <c r="M76" s="3"/>
      <c r="N76" s="3" t="str">
        <f t="shared" si="6"/>
        <v>Not provided</v>
      </c>
      <c r="O76" s="3"/>
      <c r="P76" s="3" t="s">
        <v>43</v>
      </c>
      <c r="Q76">
        <f>IF('14 Detailed Results'!O11="","",'14 Detailed Results'!O11)</f>
        <v>0</v>
      </c>
      <c r="R76">
        <f>IF('14 Detailed Results'!P11="","",'14 Detailed Results'!P11)</f>
        <v>0</v>
      </c>
      <c r="S76">
        <f>IF('14 Detailed Results'!Q11="","",'14 Detailed Results'!Q11)</f>
        <v>0</v>
      </c>
      <c r="T76" t="str">
        <f>IF('14 Detailed Results'!R11="","",'14 Detailed Results'!R11)</f>
        <v>Service user</v>
      </c>
      <c r="U76" t="str">
        <f>IF('14 Detailed Results'!S11="","",'14 Detailed Results'!S11)</f>
        <v/>
      </c>
    </row>
    <row r="77" spans="1:21">
      <c r="A77" s="3">
        <f>'02 Hospice Setup'!$B$5</f>
        <v>0</v>
      </c>
      <c r="B77" s="3" t="str">
        <f>'02 Hospice Setup'!$H$5</f>
        <v>Version 5.1</v>
      </c>
      <c r="C77" s="3" t="str">
        <f>'02 Hospice Setup'!$E$6</f>
        <v>Actual</v>
      </c>
      <c r="D77" s="18">
        <f>'02 Hospice Setup'!$H$7</f>
        <v>0</v>
      </c>
      <c r="E77" s="3" t="s">
        <v>114</v>
      </c>
      <c r="F77" s="3" t="s">
        <v>125</v>
      </c>
      <c r="G77" s="3" t="s">
        <v>126</v>
      </c>
      <c r="H77" s="3" t="s">
        <v>704</v>
      </c>
      <c r="I77" s="19">
        <f>SUMIF('14 Detailed Results'!$A$5:$A$35,F77,'14 Detailed Results'!$I$5:$I$35)</f>
        <v>0</v>
      </c>
      <c r="J77" s="3" t="s">
        <v>61</v>
      </c>
      <c r="K77" s="3"/>
      <c r="L77" s="3"/>
      <c r="M77" s="3"/>
      <c r="N77" s="3" t="str">
        <f t="shared" si="6"/>
        <v>Not provided</v>
      </c>
      <c r="O77" s="3"/>
      <c r="P77" s="3" t="s">
        <v>43</v>
      </c>
      <c r="Q77">
        <f>IF('14 Detailed Results'!O11="","",'14 Detailed Results'!O11)</f>
        <v>0</v>
      </c>
      <c r="R77">
        <f>IF('14 Detailed Results'!P11="","",'14 Detailed Results'!P11)</f>
        <v>0</v>
      </c>
      <c r="S77">
        <f>IF('14 Detailed Results'!Q11="","",'14 Detailed Results'!Q11)</f>
        <v>0</v>
      </c>
      <c r="T77" t="str">
        <f>IF('14 Detailed Results'!R11="","",'14 Detailed Results'!R11)</f>
        <v>Service user</v>
      </c>
      <c r="U77" t="str">
        <f>IF('14 Detailed Results'!S11="","",'14 Detailed Results'!S11)</f>
        <v/>
      </c>
    </row>
    <row r="78" spans="1:21">
      <c r="A78" s="3">
        <f>'02 Hospice Setup'!$B$5</f>
        <v>0</v>
      </c>
      <c r="B78" s="3" t="str">
        <f>'02 Hospice Setup'!$H$5</f>
        <v>Version 5.1</v>
      </c>
      <c r="C78" s="3" t="str">
        <f>'02 Hospice Setup'!$E$6</f>
        <v>Actual</v>
      </c>
      <c r="D78" s="18">
        <f>'02 Hospice Setup'!$H$7</f>
        <v>0</v>
      </c>
      <c r="E78" s="3" t="s">
        <v>114</v>
      </c>
      <c r="F78" s="3" t="s">
        <v>125</v>
      </c>
      <c r="G78" s="3" t="s">
        <v>126</v>
      </c>
      <c r="H78" s="3" t="s">
        <v>705</v>
      </c>
      <c r="I78" s="19">
        <f>SUMIF('14 Detailed Results'!$A$5:$A$35,F78,'14 Detailed Results'!$J$5:$J$35)</f>
        <v>0</v>
      </c>
      <c r="J78" s="3" t="s">
        <v>61</v>
      </c>
      <c r="K78" s="3"/>
      <c r="L78" s="3"/>
      <c r="M78" s="3"/>
      <c r="N78" s="3" t="str">
        <f t="shared" si="6"/>
        <v>Not provided</v>
      </c>
      <c r="O78" s="3"/>
      <c r="P78" s="3" t="s">
        <v>43</v>
      </c>
      <c r="Q78">
        <f>IF('14 Detailed Results'!O11="","",'14 Detailed Results'!O11)</f>
        <v>0</v>
      </c>
      <c r="R78">
        <f>IF('14 Detailed Results'!P11="","",'14 Detailed Results'!P11)</f>
        <v>0</v>
      </c>
      <c r="S78">
        <f>IF('14 Detailed Results'!Q11="","",'14 Detailed Results'!Q11)</f>
        <v>0</v>
      </c>
      <c r="T78" t="str">
        <f>IF('14 Detailed Results'!R11="","",'14 Detailed Results'!R11)</f>
        <v>Service user</v>
      </c>
      <c r="U78" t="str">
        <f>IF('14 Detailed Results'!S11="","",'14 Detailed Results'!S11)</f>
        <v/>
      </c>
    </row>
    <row r="79" spans="1:21">
      <c r="A79" s="3">
        <f>'02 Hospice Setup'!$B$5</f>
        <v>0</v>
      </c>
      <c r="B79" s="3" t="str">
        <f>'02 Hospice Setup'!$H$5</f>
        <v>Version 5.1</v>
      </c>
      <c r="C79" s="3" t="str">
        <f>'02 Hospice Setup'!$E$6</f>
        <v>Actual</v>
      </c>
      <c r="D79" s="18">
        <f>'02 Hospice Setup'!$H$7</f>
        <v>0</v>
      </c>
      <c r="E79" s="3" t="s">
        <v>114</v>
      </c>
      <c r="F79" s="3" t="s">
        <v>125</v>
      </c>
      <c r="G79" s="3" t="s">
        <v>126</v>
      </c>
      <c r="H79" s="3" t="s">
        <v>564</v>
      </c>
      <c r="I79" s="19">
        <f>SUMIF('14 Detailed Results'!$A$5:$A$35,F79,'14 Detailed Results'!$K$5:$K$35)</f>
        <v>0</v>
      </c>
      <c r="J79" s="3" t="s">
        <v>706</v>
      </c>
      <c r="K79" s="3"/>
      <c r="L79" s="3"/>
      <c r="M79" s="3"/>
      <c r="N79" s="3" t="str">
        <f t="shared" si="6"/>
        <v>Not provided</v>
      </c>
      <c r="O79" s="3"/>
      <c r="P79" s="3" t="s">
        <v>43</v>
      </c>
      <c r="Q79">
        <f>IF('14 Detailed Results'!O11="","",'14 Detailed Results'!O11)</f>
        <v>0</v>
      </c>
      <c r="R79">
        <f>IF('14 Detailed Results'!P11="","",'14 Detailed Results'!P11)</f>
        <v>0</v>
      </c>
      <c r="S79">
        <f>IF('14 Detailed Results'!Q11="","",'14 Detailed Results'!Q11)</f>
        <v>0</v>
      </c>
      <c r="T79" t="str">
        <f>IF('14 Detailed Results'!R11="","",'14 Detailed Results'!R11)</f>
        <v>Service user</v>
      </c>
      <c r="U79" t="str">
        <f>IF('14 Detailed Results'!S11="","",'14 Detailed Results'!S11)</f>
        <v/>
      </c>
    </row>
    <row r="80" spans="1:21">
      <c r="A80" s="3">
        <f>'02 Hospice Setup'!$B$5</f>
        <v>0</v>
      </c>
      <c r="B80" s="3" t="str">
        <f>'02 Hospice Setup'!$H$5</f>
        <v>Version 5.1</v>
      </c>
      <c r="C80" s="3" t="str">
        <f>'02 Hospice Setup'!$E$6</f>
        <v>Actual</v>
      </c>
      <c r="D80" s="18">
        <f>'02 Hospice Setup'!$H$7</f>
        <v>0</v>
      </c>
      <c r="E80" s="3" t="s">
        <v>114</v>
      </c>
      <c r="F80" s="3" t="s">
        <v>125</v>
      </c>
      <c r="G80" s="3" t="s">
        <v>126</v>
      </c>
      <c r="H80" s="3" t="s">
        <v>708</v>
      </c>
      <c r="I80" s="19">
        <f>SUMIF('14 Detailed Results'!$A$5:$A$35,F80,'14 Detailed Results'!$L$5:$L$35)</f>
        <v>0</v>
      </c>
      <c r="J80" s="3" t="s">
        <v>427</v>
      </c>
      <c r="K80" s="3"/>
      <c r="L80" s="3"/>
      <c r="M80" s="3"/>
      <c r="N80" s="3" t="str">
        <f>IF(SUMIF('14 Detailed Results'!$A$5:$A$35,F80,'14 Detailed Results'!$F$5:$F$35)=0,"Not provided",IF(I80=0,"Not available","Complete"))</f>
        <v>Not provided</v>
      </c>
      <c r="O80" s="3" t="s">
        <v>709</v>
      </c>
      <c r="P80" s="3" t="s">
        <v>43</v>
      </c>
      <c r="Q80">
        <f>IF('14 Detailed Results'!O11="","",'14 Detailed Results'!O11)</f>
        <v>0</v>
      </c>
      <c r="R80">
        <f>IF('14 Detailed Results'!P11="","",'14 Detailed Results'!P11)</f>
        <v>0</v>
      </c>
      <c r="S80">
        <f>IF('14 Detailed Results'!Q11="","",'14 Detailed Results'!Q11)</f>
        <v>0</v>
      </c>
      <c r="T80" t="str">
        <f>IF('14 Detailed Results'!R11="","",'14 Detailed Results'!R11)</f>
        <v>Service user</v>
      </c>
      <c r="U80" t="str">
        <f>IF('14 Detailed Results'!S11="","",'14 Detailed Results'!S11)</f>
        <v/>
      </c>
    </row>
    <row r="81" spans="1:21">
      <c r="A81" s="3">
        <f>'02 Hospice Setup'!$B$5</f>
        <v>0</v>
      </c>
      <c r="B81" s="3" t="str">
        <f>'02 Hospice Setup'!$H$5</f>
        <v>Version 5.1</v>
      </c>
      <c r="C81" s="3" t="str">
        <f>'02 Hospice Setup'!$E$6</f>
        <v>Actual</v>
      </c>
      <c r="D81" s="18">
        <f>'02 Hospice Setup'!$H$7</f>
        <v>0</v>
      </c>
      <c r="E81" s="3" t="s">
        <v>114</v>
      </c>
      <c r="F81" s="3" t="s">
        <v>125</v>
      </c>
      <c r="G81" s="3" t="s">
        <v>126</v>
      </c>
      <c r="H81" s="3" t="s">
        <v>710</v>
      </c>
      <c r="I81" s="19">
        <f>SUMIF('14 Detailed Results'!$A$5:$A$35,F81,'14 Detailed Results'!$M$5:$M$35)</f>
        <v>0</v>
      </c>
      <c r="J81" s="3" t="s">
        <v>61</v>
      </c>
      <c r="K81" s="3"/>
      <c r="L81" s="3"/>
      <c r="M81" s="3"/>
      <c r="N81" s="3" t="str">
        <f>IF(SUMIF('14 Detailed Results'!$A$5:$A$35,F81,'14 Detailed Results'!$F$5:$F$35)=0,"Not provided",IF(I81=0,"Not available","Complete"))</f>
        <v>Not provided</v>
      </c>
      <c r="O81" s="3"/>
      <c r="P81" s="3" t="s">
        <v>43</v>
      </c>
      <c r="Q81">
        <f>IF('14 Detailed Results'!O11="","",'14 Detailed Results'!O11)</f>
        <v>0</v>
      </c>
      <c r="R81">
        <f>IF('14 Detailed Results'!P11="","",'14 Detailed Results'!P11)</f>
        <v>0</v>
      </c>
      <c r="S81">
        <f>IF('14 Detailed Results'!Q11="","",'14 Detailed Results'!Q11)</f>
        <v>0</v>
      </c>
      <c r="T81" t="str">
        <f>IF('14 Detailed Results'!R11="","",'14 Detailed Results'!R11)</f>
        <v>Service user</v>
      </c>
      <c r="U81" t="str">
        <f>IF('14 Detailed Results'!S11="","",'14 Detailed Results'!S11)</f>
        <v/>
      </c>
    </row>
    <row r="82" spans="1:21">
      <c r="A82" s="3">
        <f>'02 Hospice Setup'!$B$5</f>
        <v>0</v>
      </c>
      <c r="B82" s="3" t="str">
        <f>'02 Hospice Setup'!$H$5</f>
        <v>Version 5.1</v>
      </c>
      <c r="C82" s="3" t="str">
        <f>'02 Hospice Setup'!$E$6</f>
        <v>Actual</v>
      </c>
      <c r="D82" s="18">
        <f>'02 Hospice Setup'!$H$7</f>
        <v>0</v>
      </c>
      <c r="E82" s="3" t="s">
        <v>114</v>
      </c>
      <c r="F82" s="3" t="s">
        <v>127</v>
      </c>
      <c r="G82" s="3" t="s">
        <v>128</v>
      </c>
      <c r="H82" s="3" t="s">
        <v>559</v>
      </c>
      <c r="I82" s="19">
        <f>SUMIF('14 Detailed Results'!$A$5:$A$35,F82,'14 Detailed Results'!$C$5:$C$35)</f>
        <v>0</v>
      </c>
      <c r="J82" s="3" t="s">
        <v>61</v>
      </c>
      <c r="K82" s="3"/>
      <c r="L82" s="3"/>
      <c r="M82" s="3"/>
      <c r="N82" s="3" t="str">
        <f t="shared" ref="N82:N90" si="7">IF(I82=0,"Not provided","Complete")</f>
        <v>Not provided</v>
      </c>
      <c r="O82" s="3"/>
      <c r="P82" s="3" t="s">
        <v>43</v>
      </c>
      <c r="Q82">
        <f>IF('14 Detailed Results'!O12="","",'14 Detailed Results'!O12)</f>
        <v>0</v>
      </c>
      <c r="R82">
        <f>IF('14 Detailed Results'!P12="","",'14 Detailed Results'!P12)</f>
        <v>0</v>
      </c>
      <c r="S82">
        <f>IF('14 Detailed Results'!Q12="","",'14 Detailed Results'!Q12)</f>
        <v>0</v>
      </c>
      <c r="T82" t="str">
        <f>IF('14 Detailed Results'!R12="","",'14 Detailed Results'!R12)</f>
        <v>Service user</v>
      </c>
      <c r="U82" t="str">
        <f>IF('14 Detailed Results'!S12="","",'14 Detailed Results'!S12)</f>
        <v/>
      </c>
    </row>
    <row r="83" spans="1:21">
      <c r="A83" s="3">
        <f>'02 Hospice Setup'!$B$5</f>
        <v>0</v>
      </c>
      <c r="B83" s="3" t="str">
        <f>'02 Hospice Setup'!$H$5</f>
        <v>Version 5.1</v>
      </c>
      <c r="C83" s="3" t="str">
        <f>'02 Hospice Setup'!$E$6</f>
        <v>Actual</v>
      </c>
      <c r="D83" s="18">
        <f>'02 Hospice Setup'!$H$7</f>
        <v>0</v>
      </c>
      <c r="E83" s="3" t="s">
        <v>114</v>
      </c>
      <c r="F83" s="3" t="s">
        <v>127</v>
      </c>
      <c r="G83" s="3" t="s">
        <v>128</v>
      </c>
      <c r="H83" s="3" t="s">
        <v>560</v>
      </c>
      <c r="I83" s="19">
        <f>SUMIF('14 Detailed Results'!$A$5:$A$35,F83,'14 Detailed Results'!$D$5:$D$35)</f>
        <v>0</v>
      </c>
      <c r="J83" s="3" t="s">
        <v>61</v>
      </c>
      <c r="K83" s="3"/>
      <c r="L83" s="3"/>
      <c r="M83" s="3"/>
      <c r="N83" s="3" t="str">
        <f t="shared" si="7"/>
        <v>Not provided</v>
      </c>
      <c r="O83" s="3"/>
      <c r="P83" s="3" t="s">
        <v>43</v>
      </c>
      <c r="Q83">
        <f>IF('14 Detailed Results'!O12="","",'14 Detailed Results'!O12)</f>
        <v>0</v>
      </c>
      <c r="R83">
        <f>IF('14 Detailed Results'!P12="","",'14 Detailed Results'!P12)</f>
        <v>0</v>
      </c>
      <c r="S83">
        <f>IF('14 Detailed Results'!Q12="","",'14 Detailed Results'!Q12)</f>
        <v>0</v>
      </c>
      <c r="T83" t="str">
        <f>IF('14 Detailed Results'!R12="","",'14 Detailed Results'!R12)</f>
        <v>Service user</v>
      </c>
      <c r="U83" t="str">
        <f>IF('14 Detailed Results'!S12="","",'14 Detailed Results'!S12)</f>
        <v/>
      </c>
    </row>
    <row r="84" spans="1:21">
      <c r="A84" s="3">
        <f>'02 Hospice Setup'!$B$5</f>
        <v>0</v>
      </c>
      <c r="B84" s="3" t="str">
        <f>'02 Hospice Setup'!$H$5</f>
        <v>Version 5.1</v>
      </c>
      <c r="C84" s="3" t="str">
        <f>'02 Hospice Setup'!$E$6</f>
        <v>Actual</v>
      </c>
      <c r="D84" s="18">
        <f>'02 Hospice Setup'!$H$7</f>
        <v>0</v>
      </c>
      <c r="E84" s="3" t="s">
        <v>114</v>
      </c>
      <c r="F84" s="3" t="s">
        <v>127</v>
      </c>
      <c r="G84" s="3" t="s">
        <v>128</v>
      </c>
      <c r="H84" s="3" t="s">
        <v>570</v>
      </c>
      <c r="I84" s="19">
        <f>SUMIF('14 Detailed Results'!$A$5:$A$35,F84,'14 Detailed Results'!$E$5:$E$35)</f>
        <v>0</v>
      </c>
      <c r="J84" s="3" t="s">
        <v>61</v>
      </c>
      <c r="K84" s="3"/>
      <c r="L84" s="3"/>
      <c r="M84" s="3"/>
      <c r="N84" s="3" t="str">
        <f t="shared" si="7"/>
        <v>Not provided</v>
      </c>
      <c r="O84" s="3"/>
      <c r="P84" s="3" t="s">
        <v>43</v>
      </c>
      <c r="Q84">
        <f>IF('14 Detailed Results'!O12="","",'14 Detailed Results'!O12)</f>
        <v>0</v>
      </c>
      <c r="R84">
        <f>IF('14 Detailed Results'!P12="","",'14 Detailed Results'!P12)</f>
        <v>0</v>
      </c>
      <c r="S84">
        <f>IF('14 Detailed Results'!Q12="","",'14 Detailed Results'!Q12)</f>
        <v>0</v>
      </c>
      <c r="T84" t="str">
        <f>IF('14 Detailed Results'!R12="","",'14 Detailed Results'!R12)</f>
        <v>Service user</v>
      </c>
      <c r="U84" t="str">
        <f>IF('14 Detailed Results'!S12="","",'14 Detailed Results'!S12)</f>
        <v/>
      </c>
    </row>
    <row r="85" spans="1:21">
      <c r="A85" s="3">
        <f>'02 Hospice Setup'!$B$5</f>
        <v>0</v>
      </c>
      <c r="B85" s="3" t="str">
        <f>'02 Hospice Setup'!$H$5</f>
        <v>Version 5.1</v>
      </c>
      <c r="C85" s="3" t="str">
        <f>'02 Hospice Setup'!$E$6</f>
        <v>Actual</v>
      </c>
      <c r="D85" s="18">
        <f>'02 Hospice Setup'!$H$7</f>
        <v>0</v>
      </c>
      <c r="E85" s="3" t="s">
        <v>114</v>
      </c>
      <c r="F85" s="3" t="s">
        <v>127</v>
      </c>
      <c r="G85" s="3" t="s">
        <v>128</v>
      </c>
      <c r="H85" s="3" t="s">
        <v>561</v>
      </c>
      <c r="I85" s="19">
        <f>SUMIF('14 Detailed Results'!$A$5:$A$35,F85,'14 Detailed Results'!$F$5:$F$35)</f>
        <v>0</v>
      </c>
      <c r="J85" s="3" t="s">
        <v>61</v>
      </c>
      <c r="K85" s="3"/>
      <c r="L85" s="3"/>
      <c r="M85" s="3"/>
      <c r="N85" s="3" t="str">
        <f t="shared" si="7"/>
        <v>Not provided</v>
      </c>
      <c r="O85" s="3"/>
      <c r="P85" s="3" t="s">
        <v>43</v>
      </c>
      <c r="Q85">
        <f>IF('14 Detailed Results'!O12="","",'14 Detailed Results'!O12)</f>
        <v>0</v>
      </c>
      <c r="R85">
        <f>IF('14 Detailed Results'!P12="","",'14 Detailed Results'!P12)</f>
        <v>0</v>
      </c>
      <c r="S85">
        <f>IF('14 Detailed Results'!Q12="","",'14 Detailed Results'!Q12)</f>
        <v>0</v>
      </c>
      <c r="T85" t="str">
        <f>IF('14 Detailed Results'!R12="","",'14 Detailed Results'!R12)</f>
        <v>Service user</v>
      </c>
      <c r="U85" t="str">
        <f>IF('14 Detailed Results'!S12="","",'14 Detailed Results'!S12)</f>
        <v/>
      </c>
    </row>
    <row r="86" spans="1:21">
      <c r="A86" s="3">
        <f>'02 Hospice Setup'!$B$5</f>
        <v>0</v>
      </c>
      <c r="B86" s="3" t="str">
        <f>'02 Hospice Setup'!$H$5</f>
        <v>Version 5.1</v>
      </c>
      <c r="C86" s="3" t="str">
        <f>'02 Hospice Setup'!$E$6</f>
        <v>Actual</v>
      </c>
      <c r="D86" s="18">
        <f>'02 Hospice Setup'!$H$7</f>
        <v>0</v>
      </c>
      <c r="E86" s="3" t="s">
        <v>114</v>
      </c>
      <c r="F86" s="3" t="s">
        <v>127</v>
      </c>
      <c r="G86" s="3" t="s">
        <v>128</v>
      </c>
      <c r="H86" s="3" t="s">
        <v>382</v>
      </c>
      <c r="I86" s="19">
        <f>SUMIF('14 Detailed Results'!$A$5:$A$35,F86,'14 Detailed Results'!$G$5:$G$35)</f>
        <v>0</v>
      </c>
      <c r="J86" s="3" t="s">
        <v>398</v>
      </c>
      <c r="K86" s="3"/>
      <c r="L86" s="3"/>
      <c r="M86" s="3"/>
      <c r="N86" s="3" t="str">
        <f t="shared" si="7"/>
        <v>Not provided</v>
      </c>
      <c r="O86" s="3"/>
      <c r="P86" s="3" t="s">
        <v>43</v>
      </c>
      <c r="Q86">
        <f>IF('14 Detailed Results'!O12="","",'14 Detailed Results'!O12)</f>
        <v>0</v>
      </c>
      <c r="R86">
        <f>IF('14 Detailed Results'!P12="","",'14 Detailed Results'!P12)</f>
        <v>0</v>
      </c>
      <c r="S86">
        <f>IF('14 Detailed Results'!Q12="","",'14 Detailed Results'!Q12)</f>
        <v>0</v>
      </c>
      <c r="T86" t="str">
        <f>IF('14 Detailed Results'!R12="","",'14 Detailed Results'!R12)</f>
        <v>Service user</v>
      </c>
      <c r="U86" t="str">
        <f>IF('14 Detailed Results'!S12="","",'14 Detailed Results'!S12)</f>
        <v/>
      </c>
    </row>
    <row r="87" spans="1:21">
      <c r="A87" s="3">
        <f>'02 Hospice Setup'!$B$5</f>
        <v>0</v>
      </c>
      <c r="B87" s="3" t="str">
        <f>'02 Hospice Setup'!$H$5</f>
        <v>Version 5.1</v>
      </c>
      <c r="C87" s="3" t="str">
        <f>'02 Hospice Setup'!$E$6</f>
        <v>Actual</v>
      </c>
      <c r="D87" s="18">
        <f>'02 Hospice Setup'!$H$7</f>
        <v>0</v>
      </c>
      <c r="E87" s="3" t="s">
        <v>114</v>
      </c>
      <c r="F87" s="3" t="s">
        <v>127</v>
      </c>
      <c r="G87" s="3" t="s">
        <v>128</v>
      </c>
      <c r="H87" s="3" t="s">
        <v>386</v>
      </c>
      <c r="I87" s="19">
        <f>SUMIF('14 Detailed Results'!$A$5:$A$35,F87,'14 Detailed Results'!$H$5:$H$35)</f>
        <v>0</v>
      </c>
      <c r="J87" s="3" t="s">
        <v>398</v>
      </c>
      <c r="K87" s="3"/>
      <c r="L87" s="3"/>
      <c r="M87" s="3"/>
      <c r="N87" s="3" t="str">
        <f t="shared" si="7"/>
        <v>Not provided</v>
      </c>
      <c r="O87" s="3"/>
      <c r="P87" s="3" t="s">
        <v>43</v>
      </c>
      <c r="Q87">
        <f>IF('14 Detailed Results'!O12="","",'14 Detailed Results'!O12)</f>
        <v>0</v>
      </c>
      <c r="R87">
        <f>IF('14 Detailed Results'!P12="","",'14 Detailed Results'!P12)</f>
        <v>0</v>
      </c>
      <c r="S87">
        <f>IF('14 Detailed Results'!Q12="","",'14 Detailed Results'!Q12)</f>
        <v>0</v>
      </c>
      <c r="T87" t="str">
        <f>IF('14 Detailed Results'!R12="","",'14 Detailed Results'!R12)</f>
        <v>Service user</v>
      </c>
      <c r="U87" t="str">
        <f>IF('14 Detailed Results'!S12="","",'14 Detailed Results'!S12)</f>
        <v/>
      </c>
    </row>
    <row r="88" spans="1:21">
      <c r="A88" s="3">
        <f>'02 Hospice Setup'!$B$5</f>
        <v>0</v>
      </c>
      <c r="B88" s="3" t="str">
        <f>'02 Hospice Setup'!$H$5</f>
        <v>Version 5.1</v>
      </c>
      <c r="C88" s="3" t="str">
        <f>'02 Hospice Setup'!$E$6</f>
        <v>Actual</v>
      </c>
      <c r="D88" s="18">
        <f>'02 Hospice Setup'!$H$7</f>
        <v>0</v>
      </c>
      <c r="E88" s="3" t="s">
        <v>114</v>
      </c>
      <c r="F88" s="3" t="s">
        <v>127</v>
      </c>
      <c r="G88" s="3" t="s">
        <v>128</v>
      </c>
      <c r="H88" s="3" t="s">
        <v>704</v>
      </c>
      <c r="I88" s="19">
        <f>SUMIF('14 Detailed Results'!$A$5:$A$35,F88,'14 Detailed Results'!$I$5:$I$35)</f>
        <v>0</v>
      </c>
      <c r="J88" s="3" t="s">
        <v>61</v>
      </c>
      <c r="K88" s="3"/>
      <c r="L88" s="3"/>
      <c r="M88" s="3"/>
      <c r="N88" s="3" t="str">
        <f t="shared" si="7"/>
        <v>Not provided</v>
      </c>
      <c r="O88" s="3"/>
      <c r="P88" s="3" t="s">
        <v>43</v>
      </c>
      <c r="Q88">
        <f>IF('14 Detailed Results'!O12="","",'14 Detailed Results'!O12)</f>
        <v>0</v>
      </c>
      <c r="R88">
        <f>IF('14 Detailed Results'!P12="","",'14 Detailed Results'!P12)</f>
        <v>0</v>
      </c>
      <c r="S88">
        <f>IF('14 Detailed Results'!Q12="","",'14 Detailed Results'!Q12)</f>
        <v>0</v>
      </c>
      <c r="T88" t="str">
        <f>IF('14 Detailed Results'!R12="","",'14 Detailed Results'!R12)</f>
        <v>Service user</v>
      </c>
      <c r="U88" t="str">
        <f>IF('14 Detailed Results'!S12="","",'14 Detailed Results'!S12)</f>
        <v/>
      </c>
    </row>
    <row r="89" spans="1:21">
      <c r="A89" s="3">
        <f>'02 Hospice Setup'!$B$5</f>
        <v>0</v>
      </c>
      <c r="B89" s="3" t="str">
        <f>'02 Hospice Setup'!$H$5</f>
        <v>Version 5.1</v>
      </c>
      <c r="C89" s="3" t="str">
        <f>'02 Hospice Setup'!$E$6</f>
        <v>Actual</v>
      </c>
      <c r="D89" s="18">
        <f>'02 Hospice Setup'!$H$7</f>
        <v>0</v>
      </c>
      <c r="E89" s="3" t="s">
        <v>114</v>
      </c>
      <c r="F89" s="3" t="s">
        <v>127</v>
      </c>
      <c r="G89" s="3" t="s">
        <v>128</v>
      </c>
      <c r="H89" s="3" t="s">
        <v>705</v>
      </c>
      <c r="I89" s="19">
        <f>SUMIF('14 Detailed Results'!$A$5:$A$35,F89,'14 Detailed Results'!$J$5:$J$35)</f>
        <v>0</v>
      </c>
      <c r="J89" s="3" t="s">
        <v>61</v>
      </c>
      <c r="K89" s="3"/>
      <c r="L89" s="3"/>
      <c r="M89" s="3"/>
      <c r="N89" s="3" t="str">
        <f t="shared" si="7"/>
        <v>Not provided</v>
      </c>
      <c r="O89" s="3"/>
      <c r="P89" s="3" t="s">
        <v>43</v>
      </c>
      <c r="Q89">
        <f>IF('14 Detailed Results'!O12="","",'14 Detailed Results'!O12)</f>
        <v>0</v>
      </c>
      <c r="R89">
        <f>IF('14 Detailed Results'!P12="","",'14 Detailed Results'!P12)</f>
        <v>0</v>
      </c>
      <c r="S89">
        <f>IF('14 Detailed Results'!Q12="","",'14 Detailed Results'!Q12)</f>
        <v>0</v>
      </c>
      <c r="T89" t="str">
        <f>IF('14 Detailed Results'!R12="","",'14 Detailed Results'!R12)</f>
        <v>Service user</v>
      </c>
      <c r="U89" t="str">
        <f>IF('14 Detailed Results'!S12="","",'14 Detailed Results'!S12)</f>
        <v/>
      </c>
    </row>
    <row r="90" spans="1:21">
      <c r="A90" s="3">
        <f>'02 Hospice Setup'!$B$5</f>
        <v>0</v>
      </c>
      <c r="B90" s="3" t="str">
        <f>'02 Hospice Setup'!$H$5</f>
        <v>Version 5.1</v>
      </c>
      <c r="C90" s="3" t="str">
        <f>'02 Hospice Setup'!$E$6</f>
        <v>Actual</v>
      </c>
      <c r="D90" s="18">
        <f>'02 Hospice Setup'!$H$7</f>
        <v>0</v>
      </c>
      <c r="E90" s="3" t="s">
        <v>114</v>
      </c>
      <c r="F90" s="3" t="s">
        <v>127</v>
      </c>
      <c r="G90" s="3" t="s">
        <v>128</v>
      </c>
      <c r="H90" s="3" t="s">
        <v>564</v>
      </c>
      <c r="I90" s="19">
        <f>SUMIF('14 Detailed Results'!$A$5:$A$35,F90,'14 Detailed Results'!$K$5:$K$35)</f>
        <v>0</v>
      </c>
      <c r="J90" s="3" t="s">
        <v>706</v>
      </c>
      <c r="K90" s="3"/>
      <c r="L90" s="3"/>
      <c r="M90" s="3"/>
      <c r="N90" s="3" t="str">
        <f t="shared" si="7"/>
        <v>Not provided</v>
      </c>
      <c r="O90" s="3"/>
      <c r="P90" s="3" t="s">
        <v>43</v>
      </c>
      <c r="Q90">
        <f>IF('14 Detailed Results'!O12="","",'14 Detailed Results'!O12)</f>
        <v>0</v>
      </c>
      <c r="R90">
        <f>IF('14 Detailed Results'!P12="","",'14 Detailed Results'!P12)</f>
        <v>0</v>
      </c>
      <c r="S90">
        <f>IF('14 Detailed Results'!Q12="","",'14 Detailed Results'!Q12)</f>
        <v>0</v>
      </c>
      <c r="T90" t="str">
        <f>IF('14 Detailed Results'!R12="","",'14 Detailed Results'!R12)</f>
        <v>Service user</v>
      </c>
      <c r="U90" t="str">
        <f>IF('14 Detailed Results'!S12="","",'14 Detailed Results'!S12)</f>
        <v/>
      </c>
    </row>
    <row r="91" spans="1:21">
      <c r="A91" s="3">
        <f>'02 Hospice Setup'!$B$5</f>
        <v>0</v>
      </c>
      <c r="B91" s="3" t="str">
        <f>'02 Hospice Setup'!$H$5</f>
        <v>Version 5.1</v>
      </c>
      <c r="C91" s="3" t="str">
        <f>'02 Hospice Setup'!$E$6</f>
        <v>Actual</v>
      </c>
      <c r="D91" s="18">
        <f>'02 Hospice Setup'!$H$7</f>
        <v>0</v>
      </c>
      <c r="E91" s="3" t="s">
        <v>114</v>
      </c>
      <c r="F91" s="3" t="s">
        <v>127</v>
      </c>
      <c r="G91" s="3" t="s">
        <v>128</v>
      </c>
      <c r="H91" s="3" t="s">
        <v>708</v>
      </c>
      <c r="I91" s="19">
        <f>SUMIF('14 Detailed Results'!$A$5:$A$35,F91,'14 Detailed Results'!$L$5:$L$35)</f>
        <v>0</v>
      </c>
      <c r="J91" s="3" t="s">
        <v>427</v>
      </c>
      <c r="K91" s="3"/>
      <c r="L91" s="3"/>
      <c r="M91" s="3"/>
      <c r="N91" s="3" t="str">
        <f>IF(SUMIF('14 Detailed Results'!$A$5:$A$35,F91,'14 Detailed Results'!$F$5:$F$35)=0,"Not provided",IF(I91=0,"Not available","Complete"))</f>
        <v>Not provided</v>
      </c>
      <c r="O91" s="3" t="s">
        <v>709</v>
      </c>
      <c r="P91" s="3" t="s">
        <v>43</v>
      </c>
      <c r="Q91">
        <f>IF('14 Detailed Results'!O12="","",'14 Detailed Results'!O12)</f>
        <v>0</v>
      </c>
      <c r="R91">
        <f>IF('14 Detailed Results'!P12="","",'14 Detailed Results'!P12)</f>
        <v>0</v>
      </c>
      <c r="S91">
        <f>IF('14 Detailed Results'!Q12="","",'14 Detailed Results'!Q12)</f>
        <v>0</v>
      </c>
      <c r="T91" t="str">
        <f>IF('14 Detailed Results'!R12="","",'14 Detailed Results'!R12)</f>
        <v>Service user</v>
      </c>
      <c r="U91" t="str">
        <f>IF('14 Detailed Results'!S12="","",'14 Detailed Results'!S12)</f>
        <v/>
      </c>
    </row>
    <row r="92" spans="1:21">
      <c r="A92" s="3">
        <f>'02 Hospice Setup'!$B$5</f>
        <v>0</v>
      </c>
      <c r="B92" s="3" t="str">
        <f>'02 Hospice Setup'!$H$5</f>
        <v>Version 5.1</v>
      </c>
      <c r="C92" s="3" t="str">
        <f>'02 Hospice Setup'!$E$6</f>
        <v>Actual</v>
      </c>
      <c r="D92" s="18">
        <f>'02 Hospice Setup'!$H$7</f>
        <v>0</v>
      </c>
      <c r="E92" s="3" t="s">
        <v>114</v>
      </c>
      <c r="F92" s="3" t="s">
        <v>127</v>
      </c>
      <c r="G92" s="3" t="s">
        <v>128</v>
      </c>
      <c r="H92" s="3" t="s">
        <v>710</v>
      </c>
      <c r="I92" s="19">
        <f>SUMIF('14 Detailed Results'!$A$5:$A$35,F92,'14 Detailed Results'!$M$5:$M$35)</f>
        <v>0</v>
      </c>
      <c r="J92" s="3" t="s">
        <v>61</v>
      </c>
      <c r="K92" s="3"/>
      <c r="L92" s="3"/>
      <c r="M92" s="3"/>
      <c r="N92" s="3" t="str">
        <f>IF(SUMIF('14 Detailed Results'!$A$5:$A$35,F92,'14 Detailed Results'!$F$5:$F$35)=0,"Not provided",IF(I92=0,"Not available","Complete"))</f>
        <v>Not provided</v>
      </c>
      <c r="O92" s="3"/>
      <c r="P92" s="3" t="s">
        <v>43</v>
      </c>
      <c r="Q92">
        <f>IF('14 Detailed Results'!O12="","",'14 Detailed Results'!O12)</f>
        <v>0</v>
      </c>
      <c r="R92">
        <f>IF('14 Detailed Results'!P12="","",'14 Detailed Results'!P12)</f>
        <v>0</v>
      </c>
      <c r="S92">
        <f>IF('14 Detailed Results'!Q12="","",'14 Detailed Results'!Q12)</f>
        <v>0</v>
      </c>
      <c r="T92" t="str">
        <f>IF('14 Detailed Results'!R12="","",'14 Detailed Results'!R12)</f>
        <v>Service user</v>
      </c>
      <c r="U92" t="str">
        <f>IF('14 Detailed Results'!S12="","",'14 Detailed Results'!S12)</f>
        <v/>
      </c>
    </row>
    <row r="93" spans="1:21">
      <c r="A93" s="3">
        <f>'02 Hospice Setup'!$B$5</f>
        <v>0</v>
      </c>
      <c r="B93" s="3" t="str">
        <f>'02 Hospice Setup'!$H$5</f>
        <v>Version 5.1</v>
      </c>
      <c r="C93" s="3" t="str">
        <f>'02 Hospice Setup'!$E$6</f>
        <v>Actual</v>
      </c>
      <c r="D93" s="18">
        <f>'02 Hospice Setup'!$H$7</f>
        <v>0</v>
      </c>
      <c r="E93" s="3" t="s">
        <v>114</v>
      </c>
      <c r="F93" s="3" t="s">
        <v>129</v>
      </c>
      <c r="G93" s="3" t="s">
        <v>131</v>
      </c>
      <c r="H93" s="3" t="s">
        <v>559</v>
      </c>
      <c r="I93" s="19">
        <f>SUMIF('14 Detailed Results'!$A$5:$A$35,F93,'14 Detailed Results'!$C$5:$C$35)</f>
        <v>0</v>
      </c>
      <c r="J93" s="3" t="s">
        <v>61</v>
      </c>
      <c r="K93" s="3"/>
      <c r="L93" s="3"/>
      <c r="M93" s="3"/>
      <c r="N93" s="3" t="str">
        <f t="shared" ref="N93:N101" si="8">IF(I93=0,"Not provided","Complete")</f>
        <v>Not provided</v>
      </c>
      <c r="O93" s="3"/>
      <c r="P93" s="3" t="s">
        <v>43</v>
      </c>
      <c r="Q93">
        <f>IF('14 Detailed Results'!O13="","",'14 Detailed Results'!O13)</f>
        <v>0</v>
      </c>
      <c r="R93">
        <f>IF('14 Detailed Results'!P13="","",'14 Detailed Results'!P13)</f>
        <v>0</v>
      </c>
      <c r="S93">
        <f>IF('14 Detailed Results'!Q13="","",'14 Detailed Results'!Q13)</f>
        <v>0</v>
      </c>
      <c r="T93" t="str">
        <f>IF('14 Detailed Results'!R13="","",'14 Detailed Results'!R13)</f>
        <v>Service user</v>
      </c>
      <c r="U93" t="str">
        <f>IF('14 Detailed Results'!S13="","",'14 Detailed Results'!S13)</f>
        <v/>
      </c>
    </row>
    <row r="94" spans="1:21">
      <c r="A94" s="3">
        <f>'02 Hospice Setup'!$B$5</f>
        <v>0</v>
      </c>
      <c r="B94" s="3" t="str">
        <f>'02 Hospice Setup'!$H$5</f>
        <v>Version 5.1</v>
      </c>
      <c r="C94" s="3" t="str">
        <f>'02 Hospice Setup'!$E$6</f>
        <v>Actual</v>
      </c>
      <c r="D94" s="18">
        <f>'02 Hospice Setup'!$H$7</f>
        <v>0</v>
      </c>
      <c r="E94" s="3" t="s">
        <v>114</v>
      </c>
      <c r="F94" s="3" t="s">
        <v>129</v>
      </c>
      <c r="G94" s="3" t="s">
        <v>131</v>
      </c>
      <c r="H94" s="3" t="s">
        <v>560</v>
      </c>
      <c r="I94" s="19">
        <f>SUMIF('14 Detailed Results'!$A$5:$A$35,F94,'14 Detailed Results'!$D$5:$D$35)</f>
        <v>0</v>
      </c>
      <c r="J94" s="3" t="s">
        <v>61</v>
      </c>
      <c r="K94" s="3"/>
      <c r="L94" s="3"/>
      <c r="M94" s="3"/>
      <c r="N94" s="3" t="str">
        <f t="shared" si="8"/>
        <v>Not provided</v>
      </c>
      <c r="O94" s="3"/>
      <c r="P94" s="3" t="s">
        <v>43</v>
      </c>
      <c r="Q94">
        <f>IF('14 Detailed Results'!O13="","",'14 Detailed Results'!O13)</f>
        <v>0</v>
      </c>
      <c r="R94">
        <f>IF('14 Detailed Results'!P13="","",'14 Detailed Results'!P13)</f>
        <v>0</v>
      </c>
      <c r="S94">
        <f>IF('14 Detailed Results'!Q13="","",'14 Detailed Results'!Q13)</f>
        <v>0</v>
      </c>
      <c r="T94" t="str">
        <f>IF('14 Detailed Results'!R13="","",'14 Detailed Results'!R13)</f>
        <v>Service user</v>
      </c>
      <c r="U94" t="str">
        <f>IF('14 Detailed Results'!S13="","",'14 Detailed Results'!S13)</f>
        <v/>
      </c>
    </row>
    <row r="95" spans="1:21">
      <c r="A95" s="3">
        <f>'02 Hospice Setup'!$B$5</f>
        <v>0</v>
      </c>
      <c r="B95" s="3" t="str">
        <f>'02 Hospice Setup'!$H$5</f>
        <v>Version 5.1</v>
      </c>
      <c r="C95" s="3" t="str">
        <f>'02 Hospice Setup'!$E$6</f>
        <v>Actual</v>
      </c>
      <c r="D95" s="18">
        <f>'02 Hospice Setup'!$H$7</f>
        <v>0</v>
      </c>
      <c r="E95" s="3" t="s">
        <v>114</v>
      </c>
      <c r="F95" s="3" t="s">
        <v>129</v>
      </c>
      <c r="G95" s="3" t="s">
        <v>131</v>
      </c>
      <c r="H95" s="3" t="s">
        <v>570</v>
      </c>
      <c r="I95" s="19">
        <f>SUMIF('14 Detailed Results'!$A$5:$A$35,F95,'14 Detailed Results'!$E$5:$E$35)</f>
        <v>0</v>
      </c>
      <c r="J95" s="3" t="s">
        <v>61</v>
      </c>
      <c r="K95" s="3"/>
      <c r="L95" s="3"/>
      <c r="M95" s="3"/>
      <c r="N95" s="3" t="str">
        <f t="shared" si="8"/>
        <v>Not provided</v>
      </c>
      <c r="O95" s="3"/>
      <c r="P95" s="3" t="s">
        <v>43</v>
      </c>
      <c r="Q95">
        <f>IF('14 Detailed Results'!O13="","",'14 Detailed Results'!O13)</f>
        <v>0</v>
      </c>
      <c r="R95">
        <f>IF('14 Detailed Results'!P13="","",'14 Detailed Results'!P13)</f>
        <v>0</v>
      </c>
      <c r="S95">
        <f>IF('14 Detailed Results'!Q13="","",'14 Detailed Results'!Q13)</f>
        <v>0</v>
      </c>
      <c r="T95" t="str">
        <f>IF('14 Detailed Results'!R13="","",'14 Detailed Results'!R13)</f>
        <v>Service user</v>
      </c>
      <c r="U95" t="str">
        <f>IF('14 Detailed Results'!S13="","",'14 Detailed Results'!S13)</f>
        <v/>
      </c>
    </row>
    <row r="96" spans="1:21">
      <c r="A96" s="3">
        <f>'02 Hospice Setup'!$B$5</f>
        <v>0</v>
      </c>
      <c r="B96" s="3" t="str">
        <f>'02 Hospice Setup'!$H$5</f>
        <v>Version 5.1</v>
      </c>
      <c r="C96" s="3" t="str">
        <f>'02 Hospice Setup'!$E$6</f>
        <v>Actual</v>
      </c>
      <c r="D96" s="18">
        <f>'02 Hospice Setup'!$H$7</f>
        <v>0</v>
      </c>
      <c r="E96" s="3" t="s">
        <v>114</v>
      </c>
      <c r="F96" s="3" t="s">
        <v>129</v>
      </c>
      <c r="G96" s="3" t="s">
        <v>131</v>
      </c>
      <c r="H96" s="3" t="s">
        <v>561</v>
      </c>
      <c r="I96" s="19">
        <f>SUMIF('14 Detailed Results'!$A$5:$A$35,F96,'14 Detailed Results'!$F$5:$F$35)</f>
        <v>0</v>
      </c>
      <c r="J96" s="3" t="s">
        <v>61</v>
      </c>
      <c r="K96" s="3"/>
      <c r="L96" s="3"/>
      <c r="M96" s="3"/>
      <c r="N96" s="3" t="str">
        <f t="shared" si="8"/>
        <v>Not provided</v>
      </c>
      <c r="O96" s="3"/>
      <c r="P96" s="3" t="s">
        <v>43</v>
      </c>
      <c r="Q96">
        <f>IF('14 Detailed Results'!O13="","",'14 Detailed Results'!O13)</f>
        <v>0</v>
      </c>
      <c r="R96">
        <f>IF('14 Detailed Results'!P13="","",'14 Detailed Results'!P13)</f>
        <v>0</v>
      </c>
      <c r="S96">
        <f>IF('14 Detailed Results'!Q13="","",'14 Detailed Results'!Q13)</f>
        <v>0</v>
      </c>
      <c r="T96" t="str">
        <f>IF('14 Detailed Results'!R13="","",'14 Detailed Results'!R13)</f>
        <v>Service user</v>
      </c>
      <c r="U96" t="str">
        <f>IF('14 Detailed Results'!S13="","",'14 Detailed Results'!S13)</f>
        <v/>
      </c>
    </row>
    <row r="97" spans="1:21">
      <c r="A97" s="3">
        <f>'02 Hospice Setup'!$B$5</f>
        <v>0</v>
      </c>
      <c r="B97" s="3" t="str">
        <f>'02 Hospice Setup'!$H$5</f>
        <v>Version 5.1</v>
      </c>
      <c r="C97" s="3" t="str">
        <f>'02 Hospice Setup'!$E$6</f>
        <v>Actual</v>
      </c>
      <c r="D97" s="18">
        <f>'02 Hospice Setup'!$H$7</f>
        <v>0</v>
      </c>
      <c r="E97" s="3" t="s">
        <v>114</v>
      </c>
      <c r="F97" s="3" t="s">
        <v>129</v>
      </c>
      <c r="G97" s="3" t="s">
        <v>131</v>
      </c>
      <c r="H97" s="3" t="s">
        <v>382</v>
      </c>
      <c r="I97" s="19">
        <f>SUMIF('14 Detailed Results'!$A$5:$A$35,F97,'14 Detailed Results'!$G$5:$G$35)</f>
        <v>0</v>
      </c>
      <c r="J97" s="3" t="s">
        <v>398</v>
      </c>
      <c r="K97" s="3"/>
      <c r="L97" s="3"/>
      <c r="M97" s="3"/>
      <c r="N97" s="3" t="str">
        <f t="shared" si="8"/>
        <v>Not provided</v>
      </c>
      <c r="O97" s="3"/>
      <c r="P97" s="3" t="s">
        <v>43</v>
      </c>
      <c r="Q97">
        <f>IF('14 Detailed Results'!O13="","",'14 Detailed Results'!O13)</f>
        <v>0</v>
      </c>
      <c r="R97">
        <f>IF('14 Detailed Results'!P13="","",'14 Detailed Results'!P13)</f>
        <v>0</v>
      </c>
      <c r="S97">
        <f>IF('14 Detailed Results'!Q13="","",'14 Detailed Results'!Q13)</f>
        <v>0</v>
      </c>
      <c r="T97" t="str">
        <f>IF('14 Detailed Results'!R13="","",'14 Detailed Results'!R13)</f>
        <v>Service user</v>
      </c>
      <c r="U97" t="str">
        <f>IF('14 Detailed Results'!S13="","",'14 Detailed Results'!S13)</f>
        <v/>
      </c>
    </row>
    <row r="98" spans="1:21">
      <c r="A98" s="3">
        <f>'02 Hospice Setup'!$B$5</f>
        <v>0</v>
      </c>
      <c r="B98" s="3" t="str">
        <f>'02 Hospice Setup'!$H$5</f>
        <v>Version 5.1</v>
      </c>
      <c r="C98" s="3" t="str">
        <f>'02 Hospice Setup'!$E$6</f>
        <v>Actual</v>
      </c>
      <c r="D98" s="18">
        <f>'02 Hospice Setup'!$H$7</f>
        <v>0</v>
      </c>
      <c r="E98" s="3" t="s">
        <v>114</v>
      </c>
      <c r="F98" s="3" t="s">
        <v>129</v>
      </c>
      <c r="G98" s="3" t="s">
        <v>131</v>
      </c>
      <c r="H98" s="3" t="s">
        <v>386</v>
      </c>
      <c r="I98" s="19">
        <f>SUMIF('14 Detailed Results'!$A$5:$A$35,F98,'14 Detailed Results'!$H$5:$H$35)</f>
        <v>0</v>
      </c>
      <c r="J98" s="3" t="s">
        <v>398</v>
      </c>
      <c r="K98" s="3"/>
      <c r="L98" s="3"/>
      <c r="M98" s="3"/>
      <c r="N98" s="3" t="str">
        <f t="shared" si="8"/>
        <v>Not provided</v>
      </c>
      <c r="O98" s="3"/>
      <c r="P98" s="3" t="s">
        <v>43</v>
      </c>
      <c r="Q98">
        <f>IF('14 Detailed Results'!O13="","",'14 Detailed Results'!O13)</f>
        <v>0</v>
      </c>
      <c r="R98">
        <f>IF('14 Detailed Results'!P13="","",'14 Detailed Results'!P13)</f>
        <v>0</v>
      </c>
      <c r="S98">
        <f>IF('14 Detailed Results'!Q13="","",'14 Detailed Results'!Q13)</f>
        <v>0</v>
      </c>
      <c r="T98" t="str">
        <f>IF('14 Detailed Results'!R13="","",'14 Detailed Results'!R13)</f>
        <v>Service user</v>
      </c>
      <c r="U98" t="str">
        <f>IF('14 Detailed Results'!S13="","",'14 Detailed Results'!S13)</f>
        <v/>
      </c>
    </row>
    <row r="99" spans="1:21">
      <c r="A99" s="3">
        <f>'02 Hospice Setup'!$B$5</f>
        <v>0</v>
      </c>
      <c r="B99" s="3" t="str">
        <f>'02 Hospice Setup'!$H$5</f>
        <v>Version 5.1</v>
      </c>
      <c r="C99" s="3" t="str">
        <f>'02 Hospice Setup'!$E$6</f>
        <v>Actual</v>
      </c>
      <c r="D99" s="18">
        <f>'02 Hospice Setup'!$H$7</f>
        <v>0</v>
      </c>
      <c r="E99" s="3" t="s">
        <v>114</v>
      </c>
      <c r="F99" s="3" t="s">
        <v>129</v>
      </c>
      <c r="G99" s="3" t="s">
        <v>131</v>
      </c>
      <c r="H99" s="3" t="s">
        <v>704</v>
      </c>
      <c r="I99" s="19">
        <f>SUMIF('14 Detailed Results'!$A$5:$A$35,F99,'14 Detailed Results'!$I$5:$I$35)</f>
        <v>0</v>
      </c>
      <c r="J99" s="3" t="s">
        <v>61</v>
      </c>
      <c r="K99" s="3"/>
      <c r="L99" s="3"/>
      <c r="M99" s="3"/>
      <c r="N99" s="3" t="str">
        <f t="shared" si="8"/>
        <v>Not provided</v>
      </c>
      <c r="O99" s="3"/>
      <c r="P99" s="3" t="s">
        <v>43</v>
      </c>
      <c r="Q99">
        <f>IF('14 Detailed Results'!O13="","",'14 Detailed Results'!O13)</f>
        <v>0</v>
      </c>
      <c r="R99">
        <f>IF('14 Detailed Results'!P13="","",'14 Detailed Results'!P13)</f>
        <v>0</v>
      </c>
      <c r="S99">
        <f>IF('14 Detailed Results'!Q13="","",'14 Detailed Results'!Q13)</f>
        <v>0</v>
      </c>
      <c r="T99" t="str">
        <f>IF('14 Detailed Results'!R13="","",'14 Detailed Results'!R13)</f>
        <v>Service user</v>
      </c>
      <c r="U99" t="str">
        <f>IF('14 Detailed Results'!S13="","",'14 Detailed Results'!S13)</f>
        <v/>
      </c>
    </row>
    <row r="100" spans="1:21">
      <c r="A100" s="3">
        <f>'02 Hospice Setup'!$B$5</f>
        <v>0</v>
      </c>
      <c r="B100" s="3" t="str">
        <f>'02 Hospice Setup'!$H$5</f>
        <v>Version 5.1</v>
      </c>
      <c r="C100" s="3" t="str">
        <f>'02 Hospice Setup'!$E$6</f>
        <v>Actual</v>
      </c>
      <c r="D100" s="18">
        <f>'02 Hospice Setup'!$H$7</f>
        <v>0</v>
      </c>
      <c r="E100" s="3" t="s">
        <v>114</v>
      </c>
      <c r="F100" s="3" t="s">
        <v>129</v>
      </c>
      <c r="G100" s="3" t="s">
        <v>131</v>
      </c>
      <c r="H100" s="3" t="s">
        <v>705</v>
      </c>
      <c r="I100" s="19">
        <f>SUMIF('14 Detailed Results'!$A$5:$A$35,F100,'14 Detailed Results'!$J$5:$J$35)</f>
        <v>0</v>
      </c>
      <c r="J100" s="3" t="s">
        <v>61</v>
      </c>
      <c r="K100" s="3"/>
      <c r="L100" s="3"/>
      <c r="M100" s="3"/>
      <c r="N100" s="3" t="str">
        <f t="shared" si="8"/>
        <v>Not provided</v>
      </c>
      <c r="O100" s="3"/>
      <c r="P100" s="3" t="s">
        <v>43</v>
      </c>
      <c r="Q100">
        <f>IF('14 Detailed Results'!O13="","",'14 Detailed Results'!O13)</f>
        <v>0</v>
      </c>
      <c r="R100">
        <f>IF('14 Detailed Results'!P13="","",'14 Detailed Results'!P13)</f>
        <v>0</v>
      </c>
      <c r="S100">
        <f>IF('14 Detailed Results'!Q13="","",'14 Detailed Results'!Q13)</f>
        <v>0</v>
      </c>
      <c r="T100" t="str">
        <f>IF('14 Detailed Results'!R13="","",'14 Detailed Results'!R13)</f>
        <v>Service user</v>
      </c>
      <c r="U100" t="str">
        <f>IF('14 Detailed Results'!S13="","",'14 Detailed Results'!S13)</f>
        <v/>
      </c>
    </row>
    <row r="101" spans="1:21">
      <c r="A101" s="3">
        <f>'02 Hospice Setup'!$B$5</f>
        <v>0</v>
      </c>
      <c r="B101" s="3" t="str">
        <f>'02 Hospice Setup'!$H$5</f>
        <v>Version 5.1</v>
      </c>
      <c r="C101" s="3" t="str">
        <f>'02 Hospice Setup'!$E$6</f>
        <v>Actual</v>
      </c>
      <c r="D101" s="18">
        <f>'02 Hospice Setup'!$H$7</f>
        <v>0</v>
      </c>
      <c r="E101" s="3" t="s">
        <v>114</v>
      </c>
      <c r="F101" s="3" t="s">
        <v>129</v>
      </c>
      <c r="G101" s="3" t="s">
        <v>131</v>
      </c>
      <c r="H101" s="3" t="s">
        <v>564</v>
      </c>
      <c r="I101" s="19">
        <f>SUMIF('14 Detailed Results'!$A$5:$A$35,F101,'14 Detailed Results'!$K$5:$K$35)</f>
        <v>0</v>
      </c>
      <c r="J101" s="3" t="s">
        <v>706</v>
      </c>
      <c r="K101" s="3"/>
      <c r="L101" s="3"/>
      <c r="M101" s="3"/>
      <c r="N101" s="3" t="str">
        <f t="shared" si="8"/>
        <v>Not provided</v>
      </c>
      <c r="O101" s="3"/>
      <c r="P101" s="3" t="s">
        <v>43</v>
      </c>
      <c r="Q101">
        <f>IF('14 Detailed Results'!O13="","",'14 Detailed Results'!O13)</f>
        <v>0</v>
      </c>
      <c r="R101">
        <f>IF('14 Detailed Results'!P13="","",'14 Detailed Results'!P13)</f>
        <v>0</v>
      </c>
      <c r="S101">
        <f>IF('14 Detailed Results'!Q13="","",'14 Detailed Results'!Q13)</f>
        <v>0</v>
      </c>
      <c r="T101" t="str">
        <f>IF('14 Detailed Results'!R13="","",'14 Detailed Results'!R13)</f>
        <v>Service user</v>
      </c>
      <c r="U101" t="str">
        <f>IF('14 Detailed Results'!S13="","",'14 Detailed Results'!S13)</f>
        <v/>
      </c>
    </row>
    <row r="102" spans="1:21">
      <c r="A102" s="3">
        <f>'02 Hospice Setup'!$B$5</f>
        <v>0</v>
      </c>
      <c r="B102" s="3" t="str">
        <f>'02 Hospice Setup'!$H$5</f>
        <v>Version 5.1</v>
      </c>
      <c r="C102" s="3" t="str">
        <f>'02 Hospice Setup'!$E$6</f>
        <v>Actual</v>
      </c>
      <c r="D102" s="18">
        <f>'02 Hospice Setup'!$H$7</f>
        <v>0</v>
      </c>
      <c r="E102" s="3" t="s">
        <v>114</v>
      </c>
      <c r="F102" s="3" t="s">
        <v>129</v>
      </c>
      <c r="G102" s="3" t="s">
        <v>131</v>
      </c>
      <c r="H102" s="3" t="s">
        <v>708</v>
      </c>
      <c r="I102" s="19">
        <f>SUMIF('14 Detailed Results'!$A$5:$A$35,F102,'14 Detailed Results'!$L$5:$L$35)</f>
        <v>0</v>
      </c>
      <c r="J102" s="3" t="s">
        <v>427</v>
      </c>
      <c r="K102" s="3"/>
      <c r="L102" s="3"/>
      <c r="M102" s="3"/>
      <c r="N102" s="3" t="str">
        <f>IF(SUMIF('14 Detailed Results'!$A$5:$A$35,F102,'14 Detailed Results'!$F$5:$F$35)=0,"Not provided",IF(I102=0,"Not available","Complete"))</f>
        <v>Not provided</v>
      </c>
      <c r="O102" s="3" t="s">
        <v>709</v>
      </c>
      <c r="P102" s="3" t="s">
        <v>43</v>
      </c>
      <c r="Q102">
        <f>IF('14 Detailed Results'!O13="","",'14 Detailed Results'!O13)</f>
        <v>0</v>
      </c>
      <c r="R102">
        <f>IF('14 Detailed Results'!P13="","",'14 Detailed Results'!P13)</f>
        <v>0</v>
      </c>
      <c r="S102">
        <f>IF('14 Detailed Results'!Q13="","",'14 Detailed Results'!Q13)</f>
        <v>0</v>
      </c>
      <c r="T102" t="str">
        <f>IF('14 Detailed Results'!R13="","",'14 Detailed Results'!R13)</f>
        <v>Service user</v>
      </c>
      <c r="U102" t="str">
        <f>IF('14 Detailed Results'!S13="","",'14 Detailed Results'!S13)</f>
        <v/>
      </c>
    </row>
    <row r="103" spans="1:21">
      <c r="A103" s="3">
        <f>'02 Hospice Setup'!$B$5</f>
        <v>0</v>
      </c>
      <c r="B103" s="3" t="str">
        <f>'02 Hospice Setup'!$H$5</f>
        <v>Version 5.1</v>
      </c>
      <c r="C103" s="3" t="str">
        <f>'02 Hospice Setup'!$E$6</f>
        <v>Actual</v>
      </c>
      <c r="D103" s="18">
        <f>'02 Hospice Setup'!$H$7</f>
        <v>0</v>
      </c>
      <c r="E103" s="3" t="s">
        <v>114</v>
      </c>
      <c r="F103" s="3" t="s">
        <v>129</v>
      </c>
      <c r="G103" s="3" t="s">
        <v>131</v>
      </c>
      <c r="H103" s="3" t="s">
        <v>710</v>
      </c>
      <c r="I103" s="19">
        <f>SUMIF('14 Detailed Results'!$A$5:$A$35,F103,'14 Detailed Results'!$M$5:$M$35)</f>
        <v>0</v>
      </c>
      <c r="J103" s="3" t="s">
        <v>61</v>
      </c>
      <c r="K103" s="3"/>
      <c r="L103" s="3"/>
      <c r="M103" s="3"/>
      <c r="N103" s="3" t="str">
        <f>IF(SUMIF('14 Detailed Results'!$A$5:$A$35,F103,'14 Detailed Results'!$F$5:$F$35)=0,"Not provided",IF(I103=0,"Not available","Complete"))</f>
        <v>Not provided</v>
      </c>
      <c r="O103" s="3"/>
      <c r="P103" s="3" t="s">
        <v>43</v>
      </c>
      <c r="Q103">
        <f>IF('14 Detailed Results'!O13="","",'14 Detailed Results'!O13)</f>
        <v>0</v>
      </c>
      <c r="R103">
        <f>IF('14 Detailed Results'!P13="","",'14 Detailed Results'!P13)</f>
        <v>0</v>
      </c>
      <c r="S103">
        <f>IF('14 Detailed Results'!Q13="","",'14 Detailed Results'!Q13)</f>
        <v>0</v>
      </c>
      <c r="T103" t="str">
        <f>IF('14 Detailed Results'!R13="","",'14 Detailed Results'!R13)</f>
        <v>Service user</v>
      </c>
      <c r="U103" t="str">
        <f>IF('14 Detailed Results'!S13="","",'14 Detailed Results'!S13)</f>
        <v/>
      </c>
    </row>
    <row r="104" spans="1:21">
      <c r="A104" s="3">
        <f>'02 Hospice Setup'!$B$5</f>
        <v>0</v>
      </c>
      <c r="B104" s="3" t="str">
        <f>'02 Hospice Setup'!$H$5</f>
        <v>Version 5.1</v>
      </c>
      <c r="C104" s="3" t="str">
        <f>'02 Hospice Setup'!$E$6</f>
        <v>Actual</v>
      </c>
      <c r="D104" s="18">
        <f>'02 Hospice Setup'!$H$7</f>
        <v>0</v>
      </c>
      <c r="E104" s="3" t="s">
        <v>114</v>
      </c>
      <c r="F104" s="3" t="s">
        <v>132</v>
      </c>
      <c r="G104" s="3" t="s">
        <v>133</v>
      </c>
      <c r="H104" s="3" t="s">
        <v>559</v>
      </c>
      <c r="I104" s="19">
        <f>SUMIF('14 Detailed Results'!$A$5:$A$35,F104,'14 Detailed Results'!$C$5:$C$35)</f>
        <v>0</v>
      </c>
      <c r="J104" s="3" t="s">
        <v>61</v>
      </c>
      <c r="K104" s="3"/>
      <c r="L104" s="3"/>
      <c r="M104" s="3"/>
      <c r="N104" s="3" t="str">
        <f t="shared" ref="N104:N112" si="9">IF(I104=0,"Not provided","Complete")</f>
        <v>Not provided</v>
      </c>
      <c r="O104" s="3"/>
      <c r="P104" s="3" t="s">
        <v>43</v>
      </c>
      <c r="Q104">
        <f>IF('14 Detailed Results'!O14="","",'14 Detailed Results'!O14)</f>
        <v>0</v>
      </c>
      <c r="R104">
        <f>IF('14 Detailed Results'!P14="","",'14 Detailed Results'!P14)</f>
        <v>0</v>
      </c>
      <c r="S104">
        <f>IF('14 Detailed Results'!Q14="","",'14 Detailed Results'!Q14)</f>
        <v>0</v>
      </c>
      <c r="T104" t="str">
        <f>IF('14 Detailed Results'!R14="","",'14 Detailed Results'!R14)</f>
        <v>Service user</v>
      </c>
      <c r="U104" t="str">
        <f>IF('14 Detailed Results'!S14="","",'14 Detailed Results'!S14)</f>
        <v/>
      </c>
    </row>
    <row r="105" spans="1:21">
      <c r="A105" s="3">
        <f>'02 Hospice Setup'!$B$5</f>
        <v>0</v>
      </c>
      <c r="B105" s="3" t="str">
        <f>'02 Hospice Setup'!$H$5</f>
        <v>Version 5.1</v>
      </c>
      <c r="C105" s="3" t="str">
        <f>'02 Hospice Setup'!$E$6</f>
        <v>Actual</v>
      </c>
      <c r="D105" s="18">
        <f>'02 Hospice Setup'!$H$7</f>
        <v>0</v>
      </c>
      <c r="E105" s="3" t="s">
        <v>114</v>
      </c>
      <c r="F105" s="3" t="s">
        <v>132</v>
      </c>
      <c r="G105" s="3" t="s">
        <v>133</v>
      </c>
      <c r="H105" s="3" t="s">
        <v>560</v>
      </c>
      <c r="I105" s="19">
        <f>SUMIF('14 Detailed Results'!$A$5:$A$35,F105,'14 Detailed Results'!$D$5:$D$35)</f>
        <v>0</v>
      </c>
      <c r="J105" s="3" t="s">
        <v>61</v>
      </c>
      <c r="K105" s="3"/>
      <c r="L105" s="3"/>
      <c r="M105" s="3"/>
      <c r="N105" s="3" t="str">
        <f t="shared" si="9"/>
        <v>Not provided</v>
      </c>
      <c r="O105" s="3"/>
      <c r="P105" s="3" t="s">
        <v>43</v>
      </c>
      <c r="Q105">
        <f>IF('14 Detailed Results'!O14="","",'14 Detailed Results'!O14)</f>
        <v>0</v>
      </c>
      <c r="R105">
        <f>IF('14 Detailed Results'!P14="","",'14 Detailed Results'!P14)</f>
        <v>0</v>
      </c>
      <c r="S105">
        <f>IF('14 Detailed Results'!Q14="","",'14 Detailed Results'!Q14)</f>
        <v>0</v>
      </c>
      <c r="T105" t="str">
        <f>IF('14 Detailed Results'!R14="","",'14 Detailed Results'!R14)</f>
        <v>Service user</v>
      </c>
      <c r="U105" t="str">
        <f>IF('14 Detailed Results'!S14="","",'14 Detailed Results'!S14)</f>
        <v/>
      </c>
    </row>
    <row r="106" spans="1:21">
      <c r="A106" s="3">
        <f>'02 Hospice Setup'!$B$5</f>
        <v>0</v>
      </c>
      <c r="B106" s="3" t="str">
        <f>'02 Hospice Setup'!$H$5</f>
        <v>Version 5.1</v>
      </c>
      <c r="C106" s="3" t="str">
        <f>'02 Hospice Setup'!$E$6</f>
        <v>Actual</v>
      </c>
      <c r="D106" s="18">
        <f>'02 Hospice Setup'!$H$7</f>
        <v>0</v>
      </c>
      <c r="E106" s="3" t="s">
        <v>114</v>
      </c>
      <c r="F106" s="3" t="s">
        <v>132</v>
      </c>
      <c r="G106" s="3" t="s">
        <v>133</v>
      </c>
      <c r="H106" s="3" t="s">
        <v>570</v>
      </c>
      <c r="I106" s="19">
        <f>SUMIF('14 Detailed Results'!$A$5:$A$35,F106,'14 Detailed Results'!$E$5:$E$35)</f>
        <v>0</v>
      </c>
      <c r="J106" s="3" t="s">
        <v>61</v>
      </c>
      <c r="K106" s="3"/>
      <c r="L106" s="3"/>
      <c r="M106" s="3"/>
      <c r="N106" s="3" t="str">
        <f t="shared" si="9"/>
        <v>Not provided</v>
      </c>
      <c r="O106" s="3"/>
      <c r="P106" s="3" t="s">
        <v>43</v>
      </c>
      <c r="Q106">
        <f>IF('14 Detailed Results'!O14="","",'14 Detailed Results'!O14)</f>
        <v>0</v>
      </c>
      <c r="R106">
        <f>IF('14 Detailed Results'!P14="","",'14 Detailed Results'!P14)</f>
        <v>0</v>
      </c>
      <c r="S106">
        <f>IF('14 Detailed Results'!Q14="","",'14 Detailed Results'!Q14)</f>
        <v>0</v>
      </c>
      <c r="T106" t="str">
        <f>IF('14 Detailed Results'!R14="","",'14 Detailed Results'!R14)</f>
        <v>Service user</v>
      </c>
      <c r="U106" t="str">
        <f>IF('14 Detailed Results'!S14="","",'14 Detailed Results'!S14)</f>
        <v/>
      </c>
    </row>
    <row r="107" spans="1:21">
      <c r="A107" s="3">
        <f>'02 Hospice Setup'!$B$5</f>
        <v>0</v>
      </c>
      <c r="B107" s="3" t="str">
        <f>'02 Hospice Setup'!$H$5</f>
        <v>Version 5.1</v>
      </c>
      <c r="C107" s="3" t="str">
        <f>'02 Hospice Setup'!$E$6</f>
        <v>Actual</v>
      </c>
      <c r="D107" s="18">
        <f>'02 Hospice Setup'!$H$7</f>
        <v>0</v>
      </c>
      <c r="E107" s="3" t="s">
        <v>114</v>
      </c>
      <c r="F107" s="3" t="s">
        <v>132</v>
      </c>
      <c r="G107" s="3" t="s">
        <v>133</v>
      </c>
      <c r="H107" s="3" t="s">
        <v>561</v>
      </c>
      <c r="I107" s="19">
        <f>SUMIF('14 Detailed Results'!$A$5:$A$35,F107,'14 Detailed Results'!$F$5:$F$35)</f>
        <v>0</v>
      </c>
      <c r="J107" s="3" t="s">
        <v>61</v>
      </c>
      <c r="K107" s="3"/>
      <c r="L107" s="3"/>
      <c r="M107" s="3"/>
      <c r="N107" s="3" t="str">
        <f t="shared" si="9"/>
        <v>Not provided</v>
      </c>
      <c r="O107" s="3"/>
      <c r="P107" s="3" t="s">
        <v>43</v>
      </c>
      <c r="Q107">
        <f>IF('14 Detailed Results'!O14="","",'14 Detailed Results'!O14)</f>
        <v>0</v>
      </c>
      <c r="R107">
        <f>IF('14 Detailed Results'!P14="","",'14 Detailed Results'!P14)</f>
        <v>0</v>
      </c>
      <c r="S107">
        <f>IF('14 Detailed Results'!Q14="","",'14 Detailed Results'!Q14)</f>
        <v>0</v>
      </c>
      <c r="T107" t="str">
        <f>IF('14 Detailed Results'!R14="","",'14 Detailed Results'!R14)</f>
        <v>Service user</v>
      </c>
      <c r="U107" t="str">
        <f>IF('14 Detailed Results'!S14="","",'14 Detailed Results'!S14)</f>
        <v/>
      </c>
    </row>
    <row r="108" spans="1:21">
      <c r="A108" s="3">
        <f>'02 Hospice Setup'!$B$5</f>
        <v>0</v>
      </c>
      <c r="B108" s="3" t="str">
        <f>'02 Hospice Setup'!$H$5</f>
        <v>Version 5.1</v>
      </c>
      <c r="C108" s="3" t="str">
        <f>'02 Hospice Setup'!$E$6</f>
        <v>Actual</v>
      </c>
      <c r="D108" s="18">
        <f>'02 Hospice Setup'!$H$7</f>
        <v>0</v>
      </c>
      <c r="E108" s="3" t="s">
        <v>114</v>
      </c>
      <c r="F108" s="3" t="s">
        <v>132</v>
      </c>
      <c r="G108" s="3" t="s">
        <v>133</v>
      </c>
      <c r="H108" s="3" t="s">
        <v>382</v>
      </c>
      <c r="I108" s="19">
        <f>SUMIF('14 Detailed Results'!$A$5:$A$35,F108,'14 Detailed Results'!$G$5:$G$35)</f>
        <v>0</v>
      </c>
      <c r="J108" s="3" t="s">
        <v>396</v>
      </c>
      <c r="K108" s="3"/>
      <c r="L108" s="3"/>
      <c r="M108" s="3"/>
      <c r="N108" s="3" t="str">
        <f t="shared" si="9"/>
        <v>Not provided</v>
      </c>
      <c r="O108" s="3"/>
      <c r="P108" s="3" t="s">
        <v>43</v>
      </c>
      <c r="Q108">
        <f>IF('14 Detailed Results'!O14="","",'14 Detailed Results'!O14)</f>
        <v>0</v>
      </c>
      <c r="R108">
        <f>IF('14 Detailed Results'!P14="","",'14 Detailed Results'!P14)</f>
        <v>0</v>
      </c>
      <c r="S108">
        <f>IF('14 Detailed Results'!Q14="","",'14 Detailed Results'!Q14)</f>
        <v>0</v>
      </c>
      <c r="T108" t="str">
        <f>IF('14 Detailed Results'!R14="","",'14 Detailed Results'!R14)</f>
        <v>Service user</v>
      </c>
      <c r="U108" t="str">
        <f>IF('14 Detailed Results'!S14="","",'14 Detailed Results'!S14)</f>
        <v/>
      </c>
    </row>
    <row r="109" spans="1:21">
      <c r="A109" s="3">
        <f>'02 Hospice Setup'!$B$5</f>
        <v>0</v>
      </c>
      <c r="B109" s="3" t="str">
        <f>'02 Hospice Setup'!$H$5</f>
        <v>Version 5.1</v>
      </c>
      <c r="C109" s="3" t="str">
        <f>'02 Hospice Setup'!$E$6</f>
        <v>Actual</v>
      </c>
      <c r="D109" s="18">
        <f>'02 Hospice Setup'!$H$7</f>
        <v>0</v>
      </c>
      <c r="E109" s="3" t="s">
        <v>114</v>
      </c>
      <c r="F109" s="3" t="s">
        <v>132</v>
      </c>
      <c r="G109" s="3" t="s">
        <v>133</v>
      </c>
      <c r="H109" s="3" t="s">
        <v>386</v>
      </c>
      <c r="I109" s="19">
        <f>SUMIF('14 Detailed Results'!$A$5:$A$35,F109,'14 Detailed Results'!$H$5:$H$35)</f>
        <v>0</v>
      </c>
      <c r="J109" s="3" t="s">
        <v>396</v>
      </c>
      <c r="K109" s="3"/>
      <c r="L109" s="3"/>
      <c r="M109" s="3"/>
      <c r="N109" s="3" t="str">
        <f t="shared" si="9"/>
        <v>Not provided</v>
      </c>
      <c r="O109" s="3"/>
      <c r="P109" s="3" t="s">
        <v>43</v>
      </c>
      <c r="Q109">
        <f>IF('14 Detailed Results'!O14="","",'14 Detailed Results'!O14)</f>
        <v>0</v>
      </c>
      <c r="R109">
        <f>IF('14 Detailed Results'!P14="","",'14 Detailed Results'!P14)</f>
        <v>0</v>
      </c>
      <c r="S109">
        <f>IF('14 Detailed Results'!Q14="","",'14 Detailed Results'!Q14)</f>
        <v>0</v>
      </c>
      <c r="T109" t="str">
        <f>IF('14 Detailed Results'!R14="","",'14 Detailed Results'!R14)</f>
        <v>Service user</v>
      </c>
      <c r="U109" t="str">
        <f>IF('14 Detailed Results'!S14="","",'14 Detailed Results'!S14)</f>
        <v/>
      </c>
    </row>
    <row r="110" spans="1:21">
      <c r="A110" s="3">
        <f>'02 Hospice Setup'!$B$5</f>
        <v>0</v>
      </c>
      <c r="B110" s="3" t="str">
        <f>'02 Hospice Setup'!$H$5</f>
        <v>Version 5.1</v>
      </c>
      <c r="C110" s="3" t="str">
        <f>'02 Hospice Setup'!$E$6</f>
        <v>Actual</v>
      </c>
      <c r="D110" s="18">
        <f>'02 Hospice Setup'!$H$7</f>
        <v>0</v>
      </c>
      <c r="E110" s="3" t="s">
        <v>114</v>
      </c>
      <c r="F110" s="3" t="s">
        <v>132</v>
      </c>
      <c r="G110" s="3" t="s">
        <v>133</v>
      </c>
      <c r="H110" s="3" t="s">
        <v>704</v>
      </c>
      <c r="I110" s="19">
        <f>SUMIF('14 Detailed Results'!$A$5:$A$35,F110,'14 Detailed Results'!$I$5:$I$35)</f>
        <v>0</v>
      </c>
      <c r="J110" s="3" t="s">
        <v>61</v>
      </c>
      <c r="K110" s="3"/>
      <c r="L110" s="3"/>
      <c r="M110" s="3"/>
      <c r="N110" s="3" t="str">
        <f t="shared" si="9"/>
        <v>Not provided</v>
      </c>
      <c r="O110" s="3"/>
      <c r="P110" s="3" t="s">
        <v>43</v>
      </c>
      <c r="Q110">
        <f>IF('14 Detailed Results'!O14="","",'14 Detailed Results'!O14)</f>
        <v>0</v>
      </c>
      <c r="R110">
        <f>IF('14 Detailed Results'!P14="","",'14 Detailed Results'!P14)</f>
        <v>0</v>
      </c>
      <c r="S110">
        <f>IF('14 Detailed Results'!Q14="","",'14 Detailed Results'!Q14)</f>
        <v>0</v>
      </c>
      <c r="T110" t="str">
        <f>IF('14 Detailed Results'!R14="","",'14 Detailed Results'!R14)</f>
        <v>Service user</v>
      </c>
      <c r="U110" t="str">
        <f>IF('14 Detailed Results'!S14="","",'14 Detailed Results'!S14)</f>
        <v/>
      </c>
    </row>
    <row r="111" spans="1:21">
      <c r="A111" s="3">
        <f>'02 Hospice Setup'!$B$5</f>
        <v>0</v>
      </c>
      <c r="B111" s="3" t="str">
        <f>'02 Hospice Setup'!$H$5</f>
        <v>Version 5.1</v>
      </c>
      <c r="C111" s="3" t="str">
        <f>'02 Hospice Setup'!$E$6</f>
        <v>Actual</v>
      </c>
      <c r="D111" s="18">
        <f>'02 Hospice Setup'!$H$7</f>
        <v>0</v>
      </c>
      <c r="E111" s="3" t="s">
        <v>114</v>
      </c>
      <c r="F111" s="3" t="s">
        <v>132</v>
      </c>
      <c r="G111" s="3" t="s">
        <v>133</v>
      </c>
      <c r="H111" s="3" t="s">
        <v>705</v>
      </c>
      <c r="I111" s="19">
        <f>SUMIF('14 Detailed Results'!$A$5:$A$35,F111,'14 Detailed Results'!$J$5:$J$35)</f>
        <v>0</v>
      </c>
      <c r="J111" s="3" t="s">
        <v>61</v>
      </c>
      <c r="K111" s="3"/>
      <c r="L111" s="3"/>
      <c r="M111" s="3"/>
      <c r="N111" s="3" t="str">
        <f t="shared" si="9"/>
        <v>Not provided</v>
      </c>
      <c r="O111" s="3"/>
      <c r="P111" s="3" t="s">
        <v>43</v>
      </c>
      <c r="Q111">
        <f>IF('14 Detailed Results'!O14="","",'14 Detailed Results'!O14)</f>
        <v>0</v>
      </c>
      <c r="R111">
        <f>IF('14 Detailed Results'!P14="","",'14 Detailed Results'!P14)</f>
        <v>0</v>
      </c>
      <c r="S111">
        <f>IF('14 Detailed Results'!Q14="","",'14 Detailed Results'!Q14)</f>
        <v>0</v>
      </c>
      <c r="T111" t="str">
        <f>IF('14 Detailed Results'!R14="","",'14 Detailed Results'!R14)</f>
        <v>Service user</v>
      </c>
      <c r="U111" t="str">
        <f>IF('14 Detailed Results'!S14="","",'14 Detailed Results'!S14)</f>
        <v/>
      </c>
    </row>
    <row r="112" spans="1:21">
      <c r="A112" s="3">
        <f>'02 Hospice Setup'!$B$5</f>
        <v>0</v>
      </c>
      <c r="B112" s="3" t="str">
        <f>'02 Hospice Setup'!$H$5</f>
        <v>Version 5.1</v>
      </c>
      <c r="C112" s="3" t="str">
        <f>'02 Hospice Setup'!$E$6</f>
        <v>Actual</v>
      </c>
      <c r="D112" s="18">
        <f>'02 Hospice Setup'!$H$7</f>
        <v>0</v>
      </c>
      <c r="E112" s="3" t="s">
        <v>114</v>
      </c>
      <c r="F112" s="3" t="s">
        <v>132</v>
      </c>
      <c r="G112" s="3" t="s">
        <v>133</v>
      </c>
      <c r="H112" s="3" t="s">
        <v>564</v>
      </c>
      <c r="I112" s="19">
        <f>SUMIF('14 Detailed Results'!$A$5:$A$35,F112,'14 Detailed Results'!$K$5:$K$35)</f>
        <v>0</v>
      </c>
      <c r="J112" s="3" t="s">
        <v>706</v>
      </c>
      <c r="K112" s="3"/>
      <c r="L112" s="3"/>
      <c r="M112" s="3"/>
      <c r="N112" s="3" t="str">
        <f t="shared" si="9"/>
        <v>Not provided</v>
      </c>
      <c r="O112" s="3"/>
      <c r="P112" s="3" t="s">
        <v>43</v>
      </c>
      <c r="Q112">
        <f>IF('14 Detailed Results'!O14="","",'14 Detailed Results'!O14)</f>
        <v>0</v>
      </c>
      <c r="R112">
        <f>IF('14 Detailed Results'!P14="","",'14 Detailed Results'!P14)</f>
        <v>0</v>
      </c>
      <c r="S112">
        <f>IF('14 Detailed Results'!Q14="","",'14 Detailed Results'!Q14)</f>
        <v>0</v>
      </c>
      <c r="T112" t="str">
        <f>IF('14 Detailed Results'!R14="","",'14 Detailed Results'!R14)</f>
        <v>Service user</v>
      </c>
      <c r="U112" t="str">
        <f>IF('14 Detailed Results'!S14="","",'14 Detailed Results'!S14)</f>
        <v/>
      </c>
    </row>
    <row r="113" spans="1:21">
      <c r="A113" s="3">
        <f>'02 Hospice Setup'!$B$5</f>
        <v>0</v>
      </c>
      <c r="B113" s="3" t="str">
        <f>'02 Hospice Setup'!$H$5</f>
        <v>Version 5.1</v>
      </c>
      <c r="C113" s="3" t="str">
        <f>'02 Hospice Setup'!$E$6</f>
        <v>Actual</v>
      </c>
      <c r="D113" s="18">
        <f>'02 Hospice Setup'!$H$7</f>
        <v>0</v>
      </c>
      <c r="E113" s="3" t="s">
        <v>114</v>
      </c>
      <c r="F113" s="3" t="s">
        <v>132</v>
      </c>
      <c r="G113" s="3" t="s">
        <v>133</v>
      </c>
      <c r="H113" s="3" t="s">
        <v>708</v>
      </c>
      <c r="I113" s="19">
        <f>SUMIF('14 Detailed Results'!$A$5:$A$35,F113,'14 Detailed Results'!$L$5:$L$35)</f>
        <v>0</v>
      </c>
      <c r="J113" s="3" t="s">
        <v>427</v>
      </c>
      <c r="K113" s="3"/>
      <c r="L113" s="3"/>
      <c r="M113" s="3"/>
      <c r="N113" s="3" t="str">
        <f>IF(SUMIF('14 Detailed Results'!$A$5:$A$35,F113,'14 Detailed Results'!$F$5:$F$35)=0,"Not provided",IF(I113=0,"Not available","Complete"))</f>
        <v>Not provided</v>
      </c>
      <c r="O113" s="3" t="s">
        <v>709</v>
      </c>
      <c r="P113" s="3" t="s">
        <v>43</v>
      </c>
      <c r="Q113">
        <f>IF('14 Detailed Results'!O14="","",'14 Detailed Results'!O14)</f>
        <v>0</v>
      </c>
      <c r="R113">
        <f>IF('14 Detailed Results'!P14="","",'14 Detailed Results'!P14)</f>
        <v>0</v>
      </c>
      <c r="S113">
        <f>IF('14 Detailed Results'!Q14="","",'14 Detailed Results'!Q14)</f>
        <v>0</v>
      </c>
      <c r="T113" t="str">
        <f>IF('14 Detailed Results'!R14="","",'14 Detailed Results'!R14)</f>
        <v>Service user</v>
      </c>
      <c r="U113" t="str">
        <f>IF('14 Detailed Results'!S14="","",'14 Detailed Results'!S14)</f>
        <v/>
      </c>
    </row>
    <row r="114" spans="1:21">
      <c r="A114" s="3">
        <f>'02 Hospice Setup'!$B$5</f>
        <v>0</v>
      </c>
      <c r="B114" s="3" t="str">
        <f>'02 Hospice Setup'!$H$5</f>
        <v>Version 5.1</v>
      </c>
      <c r="C114" s="3" t="str">
        <f>'02 Hospice Setup'!$E$6</f>
        <v>Actual</v>
      </c>
      <c r="D114" s="18">
        <f>'02 Hospice Setup'!$H$7</f>
        <v>0</v>
      </c>
      <c r="E114" s="3" t="s">
        <v>114</v>
      </c>
      <c r="F114" s="3" t="s">
        <v>132</v>
      </c>
      <c r="G114" s="3" t="s">
        <v>133</v>
      </c>
      <c r="H114" s="3" t="s">
        <v>710</v>
      </c>
      <c r="I114" s="19">
        <f>SUMIF('14 Detailed Results'!$A$5:$A$35,F114,'14 Detailed Results'!$M$5:$M$35)</f>
        <v>0</v>
      </c>
      <c r="J114" s="3" t="s">
        <v>61</v>
      </c>
      <c r="K114" s="3"/>
      <c r="L114" s="3"/>
      <c r="M114" s="3"/>
      <c r="N114" s="3" t="str">
        <f>IF(SUMIF('14 Detailed Results'!$A$5:$A$35,F114,'14 Detailed Results'!$F$5:$F$35)=0,"Not provided",IF(I114=0,"Not available","Complete"))</f>
        <v>Not provided</v>
      </c>
      <c r="O114" s="3"/>
      <c r="P114" s="3" t="s">
        <v>43</v>
      </c>
      <c r="Q114">
        <f>IF('14 Detailed Results'!O14="","",'14 Detailed Results'!O14)</f>
        <v>0</v>
      </c>
      <c r="R114">
        <f>IF('14 Detailed Results'!P14="","",'14 Detailed Results'!P14)</f>
        <v>0</v>
      </c>
      <c r="S114">
        <f>IF('14 Detailed Results'!Q14="","",'14 Detailed Results'!Q14)</f>
        <v>0</v>
      </c>
      <c r="T114" t="str">
        <f>IF('14 Detailed Results'!R14="","",'14 Detailed Results'!R14)</f>
        <v>Service user</v>
      </c>
      <c r="U114" t="str">
        <f>IF('14 Detailed Results'!S14="","",'14 Detailed Results'!S14)</f>
        <v/>
      </c>
    </row>
    <row r="115" spans="1:21">
      <c r="A115" s="3">
        <f>'02 Hospice Setup'!$B$5</f>
        <v>0</v>
      </c>
      <c r="B115" s="3" t="str">
        <f>'02 Hospice Setup'!$H$5</f>
        <v>Version 5.1</v>
      </c>
      <c r="C115" s="3" t="str">
        <f>'02 Hospice Setup'!$E$6</f>
        <v>Actual</v>
      </c>
      <c r="D115" s="18">
        <f>'02 Hospice Setup'!$H$7</f>
        <v>0</v>
      </c>
      <c r="E115" s="3" t="s">
        <v>114</v>
      </c>
      <c r="F115" s="3" t="s">
        <v>134</v>
      </c>
      <c r="G115" s="3" t="s">
        <v>135</v>
      </c>
      <c r="H115" s="3" t="s">
        <v>559</v>
      </c>
      <c r="I115" s="19">
        <f>SUMIF('14 Detailed Results'!$A$5:$A$35,F115,'14 Detailed Results'!$C$5:$C$35)</f>
        <v>0</v>
      </c>
      <c r="J115" s="3" t="s">
        <v>61</v>
      </c>
      <c r="K115" s="3"/>
      <c r="L115" s="3"/>
      <c r="M115" s="3"/>
      <c r="N115" s="3" t="str">
        <f t="shared" ref="N115:N123" si="10">IF(I115=0,"Not provided","Complete")</f>
        <v>Not provided</v>
      </c>
      <c r="O115" s="3"/>
      <c r="P115" s="3" t="s">
        <v>43</v>
      </c>
      <c r="Q115">
        <f>IF('14 Detailed Results'!O15="","",'14 Detailed Results'!O15)</f>
        <v>0</v>
      </c>
      <c r="R115">
        <f>IF('14 Detailed Results'!P15="","",'14 Detailed Results'!P15)</f>
        <v>0</v>
      </c>
      <c r="S115">
        <f>IF('14 Detailed Results'!Q15="","",'14 Detailed Results'!Q15)</f>
        <v>0</v>
      </c>
      <c r="T115" t="str">
        <f>IF('14 Detailed Results'!R15="","",'14 Detailed Results'!R15)</f>
        <v>Service user</v>
      </c>
      <c r="U115" t="str">
        <f>IF('14 Detailed Results'!S15="","",'14 Detailed Results'!S15)</f>
        <v/>
      </c>
    </row>
    <row r="116" spans="1:21">
      <c r="A116" s="3">
        <f>'02 Hospice Setup'!$B$5</f>
        <v>0</v>
      </c>
      <c r="B116" s="3" t="str">
        <f>'02 Hospice Setup'!$H$5</f>
        <v>Version 5.1</v>
      </c>
      <c r="C116" s="3" t="str">
        <f>'02 Hospice Setup'!$E$6</f>
        <v>Actual</v>
      </c>
      <c r="D116" s="18">
        <f>'02 Hospice Setup'!$H$7</f>
        <v>0</v>
      </c>
      <c r="E116" s="3" t="s">
        <v>114</v>
      </c>
      <c r="F116" s="3" t="s">
        <v>134</v>
      </c>
      <c r="G116" s="3" t="s">
        <v>135</v>
      </c>
      <c r="H116" s="3" t="s">
        <v>560</v>
      </c>
      <c r="I116" s="19">
        <f>SUMIF('14 Detailed Results'!$A$5:$A$35,F116,'14 Detailed Results'!$D$5:$D$35)</f>
        <v>0</v>
      </c>
      <c r="J116" s="3" t="s">
        <v>61</v>
      </c>
      <c r="K116" s="3"/>
      <c r="L116" s="3"/>
      <c r="M116" s="3"/>
      <c r="N116" s="3" t="str">
        <f t="shared" si="10"/>
        <v>Not provided</v>
      </c>
      <c r="O116" s="3"/>
      <c r="P116" s="3" t="s">
        <v>43</v>
      </c>
      <c r="Q116">
        <f>IF('14 Detailed Results'!O15="","",'14 Detailed Results'!O15)</f>
        <v>0</v>
      </c>
      <c r="R116">
        <f>IF('14 Detailed Results'!P15="","",'14 Detailed Results'!P15)</f>
        <v>0</v>
      </c>
      <c r="S116">
        <f>IF('14 Detailed Results'!Q15="","",'14 Detailed Results'!Q15)</f>
        <v>0</v>
      </c>
      <c r="T116" t="str">
        <f>IF('14 Detailed Results'!R15="","",'14 Detailed Results'!R15)</f>
        <v>Service user</v>
      </c>
      <c r="U116" t="str">
        <f>IF('14 Detailed Results'!S15="","",'14 Detailed Results'!S15)</f>
        <v/>
      </c>
    </row>
    <row r="117" spans="1:21">
      <c r="A117" s="3">
        <f>'02 Hospice Setup'!$B$5</f>
        <v>0</v>
      </c>
      <c r="B117" s="3" t="str">
        <f>'02 Hospice Setup'!$H$5</f>
        <v>Version 5.1</v>
      </c>
      <c r="C117" s="3" t="str">
        <f>'02 Hospice Setup'!$E$6</f>
        <v>Actual</v>
      </c>
      <c r="D117" s="18">
        <f>'02 Hospice Setup'!$H$7</f>
        <v>0</v>
      </c>
      <c r="E117" s="3" t="s">
        <v>114</v>
      </c>
      <c r="F117" s="3" t="s">
        <v>134</v>
      </c>
      <c r="G117" s="3" t="s">
        <v>135</v>
      </c>
      <c r="H117" s="3" t="s">
        <v>570</v>
      </c>
      <c r="I117" s="19">
        <f>SUMIF('14 Detailed Results'!$A$5:$A$35,F117,'14 Detailed Results'!$E$5:$E$35)</f>
        <v>0</v>
      </c>
      <c r="J117" s="3" t="s">
        <v>61</v>
      </c>
      <c r="K117" s="3"/>
      <c r="L117" s="3"/>
      <c r="M117" s="3"/>
      <c r="N117" s="3" t="str">
        <f t="shared" si="10"/>
        <v>Not provided</v>
      </c>
      <c r="O117" s="3"/>
      <c r="P117" s="3" t="s">
        <v>43</v>
      </c>
      <c r="Q117">
        <f>IF('14 Detailed Results'!O15="","",'14 Detailed Results'!O15)</f>
        <v>0</v>
      </c>
      <c r="R117">
        <f>IF('14 Detailed Results'!P15="","",'14 Detailed Results'!P15)</f>
        <v>0</v>
      </c>
      <c r="S117">
        <f>IF('14 Detailed Results'!Q15="","",'14 Detailed Results'!Q15)</f>
        <v>0</v>
      </c>
      <c r="T117" t="str">
        <f>IF('14 Detailed Results'!R15="","",'14 Detailed Results'!R15)</f>
        <v>Service user</v>
      </c>
      <c r="U117" t="str">
        <f>IF('14 Detailed Results'!S15="","",'14 Detailed Results'!S15)</f>
        <v/>
      </c>
    </row>
    <row r="118" spans="1:21">
      <c r="A118" s="3">
        <f>'02 Hospice Setup'!$B$5</f>
        <v>0</v>
      </c>
      <c r="B118" s="3" t="str">
        <f>'02 Hospice Setup'!$H$5</f>
        <v>Version 5.1</v>
      </c>
      <c r="C118" s="3" t="str">
        <f>'02 Hospice Setup'!$E$6</f>
        <v>Actual</v>
      </c>
      <c r="D118" s="18">
        <f>'02 Hospice Setup'!$H$7</f>
        <v>0</v>
      </c>
      <c r="E118" s="3" t="s">
        <v>114</v>
      </c>
      <c r="F118" s="3" t="s">
        <v>134</v>
      </c>
      <c r="G118" s="3" t="s">
        <v>135</v>
      </c>
      <c r="H118" s="3" t="s">
        <v>561</v>
      </c>
      <c r="I118" s="19">
        <f>SUMIF('14 Detailed Results'!$A$5:$A$35,F118,'14 Detailed Results'!$F$5:$F$35)</f>
        <v>0</v>
      </c>
      <c r="J118" s="3" t="s">
        <v>61</v>
      </c>
      <c r="K118" s="3"/>
      <c r="L118" s="3"/>
      <c r="M118" s="3"/>
      <c r="N118" s="3" t="str">
        <f t="shared" si="10"/>
        <v>Not provided</v>
      </c>
      <c r="O118" s="3"/>
      <c r="P118" s="3" t="s">
        <v>43</v>
      </c>
      <c r="Q118">
        <f>IF('14 Detailed Results'!O15="","",'14 Detailed Results'!O15)</f>
        <v>0</v>
      </c>
      <c r="R118">
        <f>IF('14 Detailed Results'!P15="","",'14 Detailed Results'!P15)</f>
        <v>0</v>
      </c>
      <c r="S118">
        <f>IF('14 Detailed Results'!Q15="","",'14 Detailed Results'!Q15)</f>
        <v>0</v>
      </c>
      <c r="T118" t="str">
        <f>IF('14 Detailed Results'!R15="","",'14 Detailed Results'!R15)</f>
        <v>Service user</v>
      </c>
      <c r="U118" t="str">
        <f>IF('14 Detailed Results'!S15="","",'14 Detailed Results'!S15)</f>
        <v/>
      </c>
    </row>
    <row r="119" spans="1:21">
      <c r="A119" s="3">
        <f>'02 Hospice Setup'!$B$5</f>
        <v>0</v>
      </c>
      <c r="B119" s="3" t="str">
        <f>'02 Hospice Setup'!$H$5</f>
        <v>Version 5.1</v>
      </c>
      <c r="C119" s="3" t="str">
        <f>'02 Hospice Setup'!$E$6</f>
        <v>Actual</v>
      </c>
      <c r="D119" s="18">
        <f>'02 Hospice Setup'!$H$7</f>
        <v>0</v>
      </c>
      <c r="E119" s="3" t="s">
        <v>114</v>
      </c>
      <c r="F119" s="3" t="s">
        <v>134</v>
      </c>
      <c r="G119" s="3" t="s">
        <v>135</v>
      </c>
      <c r="H119" s="3" t="s">
        <v>382</v>
      </c>
      <c r="I119" s="19">
        <f>SUMIF('14 Detailed Results'!$A$5:$A$35,F119,'14 Detailed Results'!$G$5:$G$35)</f>
        <v>0</v>
      </c>
      <c r="J119" s="3" t="s">
        <v>398</v>
      </c>
      <c r="K119" s="3"/>
      <c r="L119" s="3"/>
      <c r="M119" s="3"/>
      <c r="N119" s="3" t="str">
        <f t="shared" si="10"/>
        <v>Not provided</v>
      </c>
      <c r="O119" s="3"/>
      <c r="P119" s="3" t="s">
        <v>43</v>
      </c>
      <c r="Q119">
        <f>IF('14 Detailed Results'!O15="","",'14 Detailed Results'!O15)</f>
        <v>0</v>
      </c>
      <c r="R119">
        <f>IF('14 Detailed Results'!P15="","",'14 Detailed Results'!P15)</f>
        <v>0</v>
      </c>
      <c r="S119">
        <f>IF('14 Detailed Results'!Q15="","",'14 Detailed Results'!Q15)</f>
        <v>0</v>
      </c>
      <c r="T119" t="str">
        <f>IF('14 Detailed Results'!R15="","",'14 Detailed Results'!R15)</f>
        <v>Service user</v>
      </c>
      <c r="U119" t="str">
        <f>IF('14 Detailed Results'!S15="","",'14 Detailed Results'!S15)</f>
        <v/>
      </c>
    </row>
    <row r="120" spans="1:21">
      <c r="A120" s="3">
        <f>'02 Hospice Setup'!$B$5</f>
        <v>0</v>
      </c>
      <c r="B120" s="3" t="str">
        <f>'02 Hospice Setup'!$H$5</f>
        <v>Version 5.1</v>
      </c>
      <c r="C120" s="3" t="str">
        <f>'02 Hospice Setup'!$E$6</f>
        <v>Actual</v>
      </c>
      <c r="D120" s="18">
        <f>'02 Hospice Setup'!$H$7</f>
        <v>0</v>
      </c>
      <c r="E120" s="3" t="s">
        <v>114</v>
      </c>
      <c r="F120" s="3" t="s">
        <v>134</v>
      </c>
      <c r="G120" s="3" t="s">
        <v>135</v>
      </c>
      <c r="H120" s="3" t="s">
        <v>386</v>
      </c>
      <c r="I120" s="19">
        <f>SUMIF('14 Detailed Results'!$A$5:$A$35,F120,'14 Detailed Results'!$H$5:$H$35)</f>
        <v>0</v>
      </c>
      <c r="J120" s="3" t="s">
        <v>398</v>
      </c>
      <c r="K120" s="3"/>
      <c r="L120" s="3"/>
      <c r="M120" s="3"/>
      <c r="N120" s="3" t="str">
        <f t="shared" si="10"/>
        <v>Not provided</v>
      </c>
      <c r="O120" s="3"/>
      <c r="P120" s="3" t="s">
        <v>43</v>
      </c>
      <c r="Q120">
        <f>IF('14 Detailed Results'!O15="","",'14 Detailed Results'!O15)</f>
        <v>0</v>
      </c>
      <c r="R120">
        <f>IF('14 Detailed Results'!P15="","",'14 Detailed Results'!P15)</f>
        <v>0</v>
      </c>
      <c r="S120">
        <f>IF('14 Detailed Results'!Q15="","",'14 Detailed Results'!Q15)</f>
        <v>0</v>
      </c>
      <c r="T120" t="str">
        <f>IF('14 Detailed Results'!R15="","",'14 Detailed Results'!R15)</f>
        <v>Service user</v>
      </c>
      <c r="U120" t="str">
        <f>IF('14 Detailed Results'!S15="","",'14 Detailed Results'!S15)</f>
        <v/>
      </c>
    </row>
    <row r="121" spans="1:21">
      <c r="A121" s="3">
        <f>'02 Hospice Setup'!$B$5</f>
        <v>0</v>
      </c>
      <c r="B121" s="3" t="str">
        <f>'02 Hospice Setup'!$H$5</f>
        <v>Version 5.1</v>
      </c>
      <c r="C121" s="3" t="str">
        <f>'02 Hospice Setup'!$E$6</f>
        <v>Actual</v>
      </c>
      <c r="D121" s="18">
        <f>'02 Hospice Setup'!$H$7</f>
        <v>0</v>
      </c>
      <c r="E121" s="3" t="s">
        <v>114</v>
      </c>
      <c r="F121" s="3" t="s">
        <v>134</v>
      </c>
      <c r="G121" s="3" t="s">
        <v>135</v>
      </c>
      <c r="H121" s="3" t="s">
        <v>704</v>
      </c>
      <c r="I121" s="19">
        <f>SUMIF('14 Detailed Results'!$A$5:$A$35,F121,'14 Detailed Results'!$I$5:$I$35)</f>
        <v>0</v>
      </c>
      <c r="J121" s="3" t="s">
        <v>61</v>
      </c>
      <c r="K121" s="3"/>
      <c r="L121" s="3"/>
      <c r="M121" s="3"/>
      <c r="N121" s="3" t="str">
        <f t="shared" si="10"/>
        <v>Not provided</v>
      </c>
      <c r="O121" s="3"/>
      <c r="P121" s="3" t="s">
        <v>43</v>
      </c>
      <c r="Q121">
        <f>IF('14 Detailed Results'!O15="","",'14 Detailed Results'!O15)</f>
        <v>0</v>
      </c>
      <c r="R121">
        <f>IF('14 Detailed Results'!P15="","",'14 Detailed Results'!P15)</f>
        <v>0</v>
      </c>
      <c r="S121">
        <f>IF('14 Detailed Results'!Q15="","",'14 Detailed Results'!Q15)</f>
        <v>0</v>
      </c>
      <c r="T121" t="str">
        <f>IF('14 Detailed Results'!R15="","",'14 Detailed Results'!R15)</f>
        <v>Service user</v>
      </c>
      <c r="U121" t="str">
        <f>IF('14 Detailed Results'!S15="","",'14 Detailed Results'!S15)</f>
        <v/>
      </c>
    </row>
    <row r="122" spans="1:21">
      <c r="A122" s="3">
        <f>'02 Hospice Setup'!$B$5</f>
        <v>0</v>
      </c>
      <c r="B122" s="3" t="str">
        <f>'02 Hospice Setup'!$H$5</f>
        <v>Version 5.1</v>
      </c>
      <c r="C122" s="3" t="str">
        <f>'02 Hospice Setup'!$E$6</f>
        <v>Actual</v>
      </c>
      <c r="D122" s="18">
        <f>'02 Hospice Setup'!$H$7</f>
        <v>0</v>
      </c>
      <c r="E122" s="3" t="s">
        <v>114</v>
      </c>
      <c r="F122" s="3" t="s">
        <v>134</v>
      </c>
      <c r="G122" s="3" t="s">
        <v>135</v>
      </c>
      <c r="H122" s="3" t="s">
        <v>705</v>
      </c>
      <c r="I122" s="19">
        <f>SUMIF('14 Detailed Results'!$A$5:$A$35,F122,'14 Detailed Results'!$J$5:$J$35)</f>
        <v>0</v>
      </c>
      <c r="J122" s="3" t="s">
        <v>61</v>
      </c>
      <c r="K122" s="3"/>
      <c r="L122" s="3"/>
      <c r="M122" s="3"/>
      <c r="N122" s="3" t="str">
        <f t="shared" si="10"/>
        <v>Not provided</v>
      </c>
      <c r="O122" s="3"/>
      <c r="P122" s="3" t="s">
        <v>43</v>
      </c>
      <c r="Q122">
        <f>IF('14 Detailed Results'!O15="","",'14 Detailed Results'!O15)</f>
        <v>0</v>
      </c>
      <c r="R122">
        <f>IF('14 Detailed Results'!P15="","",'14 Detailed Results'!P15)</f>
        <v>0</v>
      </c>
      <c r="S122">
        <f>IF('14 Detailed Results'!Q15="","",'14 Detailed Results'!Q15)</f>
        <v>0</v>
      </c>
      <c r="T122" t="str">
        <f>IF('14 Detailed Results'!R15="","",'14 Detailed Results'!R15)</f>
        <v>Service user</v>
      </c>
      <c r="U122" t="str">
        <f>IF('14 Detailed Results'!S15="","",'14 Detailed Results'!S15)</f>
        <v/>
      </c>
    </row>
    <row r="123" spans="1:21">
      <c r="A123" s="3">
        <f>'02 Hospice Setup'!$B$5</f>
        <v>0</v>
      </c>
      <c r="B123" s="3" t="str">
        <f>'02 Hospice Setup'!$H$5</f>
        <v>Version 5.1</v>
      </c>
      <c r="C123" s="3" t="str">
        <f>'02 Hospice Setup'!$E$6</f>
        <v>Actual</v>
      </c>
      <c r="D123" s="18">
        <f>'02 Hospice Setup'!$H$7</f>
        <v>0</v>
      </c>
      <c r="E123" s="3" t="s">
        <v>114</v>
      </c>
      <c r="F123" s="3" t="s">
        <v>134</v>
      </c>
      <c r="G123" s="3" t="s">
        <v>135</v>
      </c>
      <c r="H123" s="3" t="s">
        <v>564</v>
      </c>
      <c r="I123" s="19">
        <f>SUMIF('14 Detailed Results'!$A$5:$A$35,F123,'14 Detailed Results'!$K$5:$K$35)</f>
        <v>0</v>
      </c>
      <c r="J123" s="3" t="s">
        <v>706</v>
      </c>
      <c r="K123" s="3"/>
      <c r="L123" s="3"/>
      <c r="M123" s="3"/>
      <c r="N123" s="3" t="str">
        <f t="shared" si="10"/>
        <v>Not provided</v>
      </c>
      <c r="O123" s="3"/>
      <c r="P123" s="3" t="s">
        <v>43</v>
      </c>
      <c r="Q123">
        <f>IF('14 Detailed Results'!O15="","",'14 Detailed Results'!O15)</f>
        <v>0</v>
      </c>
      <c r="R123">
        <f>IF('14 Detailed Results'!P15="","",'14 Detailed Results'!P15)</f>
        <v>0</v>
      </c>
      <c r="S123">
        <f>IF('14 Detailed Results'!Q15="","",'14 Detailed Results'!Q15)</f>
        <v>0</v>
      </c>
      <c r="T123" t="str">
        <f>IF('14 Detailed Results'!R15="","",'14 Detailed Results'!R15)</f>
        <v>Service user</v>
      </c>
      <c r="U123" t="str">
        <f>IF('14 Detailed Results'!S15="","",'14 Detailed Results'!S15)</f>
        <v/>
      </c>
    </row>
    <row r="124" spans="1:21">
      <c r="A124" s="3">
        <f>'02 Hospice Setup'!$B$5</f>
        <v>0</v>
      </c>
      <c r="B124" s="3" t="str">
        <f>'02 Hospice Setup'!$H$5</f>
        <v>Version 5.1</v>
      </c>
      <c r="C124" s="3" t="str">
        <f>'02 Hospice Setup'!$E$6</f>
        <v>Actual</v>
      </c>
      <c r="D124" s="18">
        <f>'02 Hospice Setup'!$H$7</f>
        <v>0</v>
      </c>
      <c r="E124" s="3" t="s">
        <v>114</v>
      </c>
      <c r="F124" s="3" t="s">
        <v>134</v>
      </c>
      <c r="G124" s="3" t="s">
        <v>135</v>
      </c>
      <c r="H124" s="3" t="s">
        <v>708</v>
      </c>
      <c r="I124" s="19">
        <f>SUMIF('14 Detailed Results'!$A$5:$A$35,F124,'14 Detailed Results'!$L$5:$L$35)</f>
        <v>0</v>
      </c>
      <c r="J124" s="3" t="s">
        <v>427</v>
      </c>
      <c r="K124" s="3"/>
      <c r="L124" s="3"/>
      <c r="M124" s="3"/>
      <c r="N124" s="3" t="str">
        <f>IF(SUMIF('14 Detailed Results'!$A$5:$A$35,F124,'14 Detailed Results'!$F$5:$F$35)=0,"Not provided",IF(I124=0,"Not available","Complete"))</f>
        <v>Not provided</v>
      </c>
      <c r="O124" s="3" t="s">
        <v>709</v>
      </c>
      <c r="P124" s="3" t="s">
        <v>43</v>
      </c>
      <c r="Q124">
        <f>IF('14 Detailed Results'!O15="","",'14 Detailed Results'!O15)</f>
        <v>0</v>
      </c>
      <c r="R124">
        <f>IF('14 Detailed Results'!P15="","",'14 Detailed Results'!P15)</f>
        <v>0</v>
      </c>
      <c r="S124">
        <f>IF('14 Detailed Results'!Q15="","",'14 Detailed Results'!Q15)</f>
        <v>0</v>
      </c>
      <c r="T124" t="str">
        <f>IF('14 Detailed Results'!R15="","",'14 Detailed Results'!R15)</f>
        <v>Service user</v>
      </c>
      <c r="U124" t="str">
        <f>IF('14 Detailed Results'!S15="","",'14 Detailed Results'!S15)</f>
        <v/>
      </c>
    </row>
    <row r="125" spans="1:21">
      <c r="A125" s="3">
        <f>'02 Hospice Setup'!$B$5</f>
        <v>0</v>
      </c>
      <c r="B125" s="3" t="str">
        <f>'02 Hospice Setup'!$H$5</f>
        <v>Version 5.1</v>
      </c>
      <c r="C125" s="3" t="str">
        <f>'02 Hospice Setup'!$E$6</f>
        <v>Actual</v>
      </c>
      <c r="D125" s="18">
        <f>'02 Hospice Setup'!$H$7</f>
        <v>0</v>
      </c>
      <c r="E125" s="3" t="s">
        <v>114</v>
      </c>
      <c r="F125" s="3" t="s">
        <v>134</v>
      </c>
      <c r="G125" s="3" t="s">
        <v>135</v>
      </c>
      <c r="H125" s="3" t="s">
        <v>710</v>
      </c>
      <c r="I125" s="19">
        <f>SUMIF('14 Detailed Results'!$A$5:$A$35,F125,'14 Detailed Results'!$M$5:$M$35)</f>
        <v>0</v>
      </c>
      <c r="J125" s="3" t="s">
        <v>61</v>
      </c>
      <c r="K125" s="3"/>
      <c r="L125" s="3"/>
      <c r="M125" s="3"/>
      <c r="N125" s="3" t="str">
        <f>IF(SUMIF('14 Detailed Results'!$A$5:$A$35,F125,'14 Detailed Results'!$F$5:$F$35)=0,"Not provided",IF(I125=0,"Not available","Complete"))</f>
        <v>Not provided</v>
      </c>
      <c r="O125" s="3"/>
      <c r="P125" s="3" t="s">
        <v>43</v>
      </c>
      <c r="Q125">
        <f>IF('14 Detailed Results'!O15="","",'14 Detailed Results'!O15)</f>
        <v>0</v>
      </c>
      <c r="R125">
        <f>IF('14 Detailed Results'!P15="","",'14 Detailed Results'!P15)</f>
        <v>0</v>
      </c>
      <c r="S125">
        <f>IF('14 Detailed Results'!Q15="","",'14 Detailed Results'!Q15)</f>
        <v>0</v>
      </c>
      <c r="T125" t="str">
        <f>IF('14 Detailed Results'!R15="","",'14 Detailed Results'!R15)</f>
        <v>Service user</v>
      </c>
      <c r="U125" t="str">
        <f>IF('14 Detailed Results'!S15="","",'14 Detailed Results'!S15)</f>
        <v/>
      </c>
    </row>
    <row r="126" spans="1:21">
      <c r="A126" s="3">
        <f>'02 Hospice Setup'!$B$5</f>
        <v>0</v>
      </c>
      <c r="B126" s="3" t="str">
        <f>'02 Hospice Setup'!$H$5</f>
        <v>Version 5.1</v>
      </c>
      <c r="C126" s="3" t="str">
        <f>'02 Hospice Setup'!$E$6</f>
        <v>Actual</v>
      </c>
      <c r="D126" s="18">
        <f>'02 Hospice Setup'!$H$7</f>
        <v>0</v>
      </c>
      <c r="E126" s="3" t="s">
        <v>114</v>
      </c>
      <c r="F126" s="3" t="s">
        <v>136</v>
      </c>
      <c r="G126" s="3" t="s">
        <v>137</v>
      </c>
      <c r="H126" s="3" t="s">
        <v>559</v>
      </c>
      <c r="I126" s="19">
        <f>SUMIF('14 Detailed Results'!$A$5:$A$35,F126,'14 Detailed Results'!$C$5:$C$35)</f>
        <v>0</v>
      </c>
      <c r="J126" s="3" t="s">
        <v>61</v>
      </c>
      <c r="K126" s="3"/>
      <c r="L126" s="3"/>
      <c r="M126" s="3"/>
      <c r="N126" s="3" t="str">
        <f t="shared" ref="N126:N134" si="11">IF(I126=0,"Not provided","Complete")</f>
        <v>Not provided</v>
      </c>
      <c r="O126" s="3"/>
      <c r="P126" s="3" t="s">
        <v>43</v>
      </c>
      <c r="Q126">
        <f>IF('14 Detailed Results'!O16="","",'14 Detailed Results'!O16)</f>
        <v>0</v>
      </c>
      <c r="R126">
        <f>IF('14 Detailed Results'!P16="","",'14 Detailed Results'!P16)</f>
        <v>0</v>
      </c>
      <c r="S126">
        <f>IF('14 Detailed Results'!Q16="","",'14 Detailed Results'!Q16)</f>
        <v>0</v>
      </c>
      <c r="T126" t="str">
        <f>IF('14 Detailed Results'!R16="","",'14 Detailed Results'!R16)</f>
        <v>Service user</v>
      </c>
      <c r="U126" t="str">
        <f>IF('14 Detailed Results'!S16="","",'14 Detailed Results'!S16)</f>
        <v/>
      </c>
    </row>
    <row r="127" spans="1:21">
      <c r="A127" s="3">
        <f>'02 Hospice Setup'!$B$5</f>
        <v>0</v>
      </c>
      <c r="B127" s="3" t="str">
        <f>'02 Hospice Setup'!$H$5</f>
        <v>Version 5.1</v>
      </c>
      <c r="C127" s="3" t="str">
        <f>'02 Hospice Setup'!$E$6</f>
        <v>Actual</v>
      </c>
      <c r="D127" s="18">
        <f>'02 Hospice Setup'!$H$7</f>
        <v>0</v>
      </c>
      <c r="E127" s="3" t="s">
        <v>114</v>
      </c>
      <c r="F127" s="3" t="s">
        <v>136</v>
      </c>
      <c r="G127" s="3" t="s">
        <v>137</v>
      </c>
      <c r="H127" s="3" t="s">
        <v>560</v>
      </c>
      <c r="I127" s="19">
        <f>SUMIF('14 Detailed Results'!$A$5:$A$35,F127,'14 Detailed Results'!$D$5:$D$35)</f>
        <v>0</v>
      </c>
      <c r="J127" s="3" t="s">
        <v>61</v>
      </c>
      <c r="K127" s="3"/>
      <c r="L127" s="3"/>
      <c r="M127" s="3"/>
      <c r="N127" s="3" t="str">
        <f t="shared" si="11"/>
        <v>Not provided</v>
      </c>
      <c r="O127" s="3"/>
      <c r="P127" s="3" t="s">
        <v>43</v>
      </c>
      <c r="Q127">
        <f>IF('14 Detailed Results'!O16="","",'14 Detailed Results'!O16)</f>
        <v>0</v>
      </c>
      <c r="R127">
        <f>IF('14 Detailed Results'!P16="","",'14 Detailed Results'!P16)</f>
        <v>0</v>
      </c>
      <c r="S127">
        <f>IF('14 Detailed Results'!Q16="","",'14 Detailed Results'!Q16)</f>
        <v>0</v>
      </c>
      <c r="T127" t="str">
        <f>IF('14 Detailed Results'!R16="","",'14 Detailed Results'!R16)</f>
        <v>Service user</v>
      </c>
      <c r="U127" t="str">
        <f>IF('14 Detailed Results'!S16="","",'14 Detailed Results'!S16)</f>
        <v/>
      </c>
    </row>
    <row r="128" spans="1:21">
      <c r="A128" s="3">
        <f>'02 Hospice Setup'!$B$5</f>
        <v>0</v>
      </c>
      <c r="B128" s="3" t="str">
        <f>'02 Hospice Setup'!$H$5</f>
        <v>Version 5.1</v>
      </c>
      <c r="C128" s="3" t="str">
        <f>'02 Hospice Setup'!$E$6</f>
        <v>Actual</v>
      </c>
      <c r="D128" s="18">
        <f>'02 Hospice Setup'!$H$7</f>
        <v>0</v>
      </c>
      <c r="E128" s="3" t="s">
        <v>114</v>
      </c>
      <c r="F128" s="3" t="s">
        <v>136</v>
      </c>
      <c r="G128" s="3" t="s">
        <v>137</v>
      </c>
      <c r="H128" s="3" t="s">
        <v>570</v>
      </c>
      <c r="I128" s="19">
        <f>SUMIF('14 Detailed Results'!$A$5:$A$35,F128,'14 Detailed Results'!$E$5:$E$35)</f>
        <v>0</v>
      </c>
      <c r="J128" s="3" t="s">
        <v>61</v>
      </c>
      <c r="K128" s="3"/>
      <c r="L128" s="3"/>
      <c r="M128" s="3"/>
      <c r="N128" s="3" t="str">
        <f t="shared" si="11"/>
        <v>Not provided</v>
      </c>
      <c r="O128" s="3"/>
      <c r="P128" s="3" t="s">
        <v>43</v>
      </c>
      <c r="Q128">
        <f>IF('14 Detailed Results'!O16="","",'14 Detailed Results'!O16)</f>
        <v>0</v>
      </c>
      <c r="R128">
        <f>IF('14 Detailed Results'!P16="","",'14 Detailed Results'!P16)</f>
        <v>0</v>
      </c>
      <c r="S128">
        <f>IF('14 Detailed Results'!Q16="","",'14 Detailed Results'!Q16)</f>
        <v>0</v>
      </c>
      <c r="T128" t="str">
        <f>IF('14 Detailed Results'!R16="","",'14 Detailed Results'!R16)</f>
        <v>Service user</v>
      </c>
      <c r="U128" t="str">
        <f>IF('14 Detailed Results'!S16="","",'14 Detailed Results'!S16)</f>
        <v/>
      </c>
    </row>
    <row r="129" spans="1:21">
      <c r="A129" s="3">
        <f>'02 Hospice Setup'!$B$5</f>
        <v>0</v>
      </c>
      <c r="B129" s="3" t="str">
        <f>'02 Hospice Setup'!$H$5</f>
        <v>Version 5.1</v>
      </c>
      <c r="C129" s="3" t="str">
        <f>'02 Hospice Setup'!$E$6</f>
        <v>Actual</v>
      </c>
      <c r="D129" s="18">
        <f>'02 Hospice Setup'!$H$7</f>
        <v>0</v>
      </c>
      <c r="E129" s="3" t="s">
        <v>114</v>
      </c>
      <c r="F129" s="3" t="s">
        <v>136</v>
      </c>
      <c r="G129" s="3" t="s">
        <v>137</v>
      </c>
      <c r="H129" s="3" t="s">
        <v>561</v>
      </c>
      <c r="I129" s="19">
        <f>SUMIF('14 Detailed Results'!$A$5:$A$35,F129,'14 Detailed Results'!$F$5:$F$35)</f>
        <v>0</v>
      </c>
      <c r="J129" s="3" t="s">
        <v>61</v>
      </c>
      <c r="K129" s="3"/>
      <c r="L129" s="3"/>
      <c r="M129" s="3"/>
      <c r="N129" s="3" t="str">
        <f t="shared" si="11"/>
        <v>Not provided</v>
      </c>
      <c r="O129" s="3"/>
      <c r="P129" s="3" t="s">
        <v>43</v>
      </c>
      <c r="Q129">
        <f>IF('14 Detailed Results'!O16="","",'14 Detailed Results'!O16)</f>
        <v>0</v>
      </c>
      <c r="R129">
        <f>IF('14 Detailed Results'!P16="","",'14 Detailed Results'!P16)</f>
        <v>0</v>
      </c>
      <c r="S129">
        <f>IF('14 Detailed Results'!Q16="","",'14 Detailed Results'!Q16)</f>
        <v>0</v>
      </c>
      <c r="T129" t="str">
        <f>IF('14 Detailed Results'!R16="","",'14 Detailed Results'!R16)</f>
        <v>Service user</v>
      </c>
      <c r="U129" t="str">
        <f>IF('14 Detailed Results'!S16="","",'14 Detailed Results'!S16)</f>
        <v/>
      </c>
    </row>
    <row r="130" spans="1:21">
      <c r="A130" s="3">
        <f>'02 Hospice Setup'!$B$5</f>
        <v>0</v>
      </c>
      <c r="B130" s="3" t="str">
        <f>'02 Hospice Setup'!$H$5</f>
        <v>Version 5.1</v>
      </c>
      <c r="C130" s="3" t="str">
        <f>'02 Hospice Setup'!$E$6</f>
        <v>Actual</v>
      </c>
      <c r="D130" s="18">
        <f>'02 Hospice Setup'!$H$7</f>
        <v>0</v>
      </c>
      <c r="E130" s="3" t="s">
        <v>114</v>
      </c>
      <c r="F130" s="3" t="s">
        <v>136</v>
      </c>
      <c r="G130" s="3" t="s">
        <v>137</v>
      </c>
      <c r="H130" s="3" t="s">
        <v>382</v>
      </c>
      <c r="I130" s="19">
        <f>SUMIF('14 Detailed Results'!$A$5:$A$35,F130,'14 Detailed Results'!$G$5:$G$35)</f>
        <v>0</v>
      </c>
      <c r="J130" s="3" t="s">
        <v>392</v>
      </c>
      <c r="K130" s="3"/>
      <c r="L130" s="3"/>
      <c r="M130" s="3"/>
      <c r="N130" s="3" t="str">
        <f t="shared" si="11"/>
        <v>Not provided</v>
      </c>
      <c r="O130" s="3"/>
      <c r="P130" s="3" t="s">
        <v>43</v>
      </c>
      <c r="Q130">
        <f>IF('14 Detailed Results'!O16="","",'14 Detailed Results'!O16)</f>
        <v>0</v>
      </c>
      <c r="R130">
        <f>IF('14 Detailed Results'!P16="","",'14 Detailed Results'!P16)</f>
        <v>0</v>
      </c>
      <c r="S130">
        <f>IF('14 Detailed Results'!Q16="","",'14 Detailed Results'!Q16)</f>
        <v>0</v>
      </c>
      <c r="T130" t="str">
        <f>IF('14 Detailed Results'!R16="","",'14 Detailed Results'!R16)</f>
        <v>Service user</v>
      </c>
      <c r="U130" t="str">
        <f>IF('14 Detailed Results'!S16="","",'14 Detailed Results'!S16)</f>
        <v/>
      </c>
    </row>
    <row r="131" spans="1:21">
      <c r="A131" s="3">
        <f>'02 Hospice Setup'!$B$5</f>
        <v>0</v>
      </c>
      <c r="B131" s="3" t="str">
        <f>'02 Hospice Setup'!$H$5</f>
        <v>Version 5.1</v>
      </c>
      <c r="C131" s="3" t="str">
        <f>'02 Hospice Setup'!$E$6</f>
        <v>Actual</v>
      </c>
      <c r="D131" s="18">
        <f>'02 Hospice Setup'!$H$7</f>
        <v>0</v>
      </c>
      <c r="E131" s="3" t="s">
        <v>114</v>
      </c>
      <c r="F131" s="3" t="s">
        <v>136</v>
      </c>
      <c r="G131" s="3" t="s">
        <v>137</v>
      </c>
      <c r="H131" s="3" t="s">
        <v>386</v>
      </c>
      <c r="I131" s="19">
        <f>SUMIF('14 Detailed Results'!$A$5:$A$35,F131,'14 Detailed Results'!$H$5:$H$35)</f>
        <v>0</v>
      </c>
      <c r="J131" s="3" t="s">
        <v>392</v>
      </c>
      <c r="K131" s="3"/>
      <c r="L131" s="3"/>
      <c r="M131" s="3"/>
      <c r="N131" s="3" t="str">
        <f t="shared" si="11"/>
        <v>Not provided</v>
      </c>
      <c r="O131" s="3"/>
      <c r="P131" s="3" t="s">
        <v>43</v>
      </c>
      <c r="Q131">
        <f>IF('14 Detailed Results'!O16="","",'14 Detailed Results'!O16)</f>
        <v>0</v>
      </c>
      <c r="R131">
        <f>IF('14 Detailed Results'!P16="","",'14 Detailed Results'!P16)</f>
        <v>0</v>
      </c>
      <c r="S131">
        <f>IF('14 Detailed Results'!Q16="","",'14 Detailed Results'!Q16)</f>
        <v>0</v>
      </c>
      <c r="T131" t="str">
        <f>IF('14 Detailed Results'!R16="","",'14 Detailed Results'!R16)</f>
        <v>Service user</v>
      </c>
      <c r="U131" t="str">
        <f>IF('14 Detailed Results'!S16="","",'14 Detailed Results'!S16)</f>
        <v/>
      </c>
    </row>
    <row r="132" spans="1:21">
      <c r="A132" s="3">
        <f>'02 Hospice Setup'!$B$5</f>
        <v>0</v>
      </c>
      <c r="B132" s="3" t="str">
        <f>'02 Hospice Setup'!$H$5</f>
        <v>Version 5.1</v>
      </c>
      <c r="C132" s="3" t="str">
        <f>'02 Hospice Setup'!$E$6</f>
        <v>Actual</v>
      </c>
      <c r="D132" s="18">
        <f>'02 Hospice Setup'!$H$7</f>
        <v>0</v>
      </c>
      <c r="E132" s="3" t="s">
        <v>114</v>
      </c>
      <c r="F132" s="3" t="s">
        <v>136</v>
      </c>
      <c r="G132" s="3" t="s">
        <v>137</v>
      </c>
      <c r="H132" s="3" t="s">
        <v>704</v>
      </c>
      <c r="I132" s="19">
        <f>SUMIF('14 Detailed Results'!$A$5:$A$35,F132,'14 Detailed Results'!$I$5:$I$35)</f>
        <v>0</v>
      </c>
      <c r="J132" s="3" t="s">
        <v>61</v>
      </c>
      <c r="K132" s="3"/>
      <c r="L132" s="3"/>
      <c r="M132" s="3"/>
      <c r="N132" s="3" t="str">
        <f t="shared" si="11"/>
        <v>Not provided</v>
      </c>
      <c r="O132" s="3"/>
      <c r="P132" s="3" t="s">
        <v>43</v>
      </c>
      <c r="Q132">
        <f>IF('14 Detailed Results'!O16="","",'14 Detailed Results'!O16)</f>
        <v>0</v>
      </c>
      <c r="R132">
        <f>IF('14 Detailed Results'!P16="","",'14 Detailed Results'!P16)</f>
        <v>0</v>
      </c>
      <c r="S132">
        <f>IF('14 Detailed Results'!Q16="","",'14 Detailed Results'!Q16)</f>
        <v>0</v>
      </c>
      <c r="T132" t="str">
        <f>IF('14 Detailed Results'!R16="","",'14 Detailed Results'!R16)</f>
        <v>Service user</v>
      </c>
      <c r="U132" t="str">
        <f>IF('14 Detailed Results'!S16="","",'14 Detailed Results'!S16)</f>
        <v/>
      </c>
    </row>
    <row r="133" spans="1:21">
      <c r="A133" s="3">
        <f>'02 Hospice Setup'!$B$5</f>
        <v>0</v>
      </c>
      <c r="B133" s="3" t="str">
        <f>'02 Hospice Setup'!$H$5</f>
        <v>Version 5.1</v>
      </c>
      <c r="C133" s="3" t="str">
        <f>'02 Hospice Setup'!$E$6</f>
        <v>Actual</v>
      </c>
      <c r="D133" s="18">
        <f>'02 Hospice Setup'!$H$7</f>
        <v>0</v>
      </c>
      <c r="E133" s="3" t="s">
        <v>114</v>
      </c>
      <c r="F133" s="3" t="s">
        <v>136</v>
      </c>
      <c r="G133" s="3" t="s">
        <v>137</v>
      </c>
      <c r="H133" s="3" t="s">
        <v>705</v>
      </c>
      <c r="I133" s="19">
        <f>SUMIF('14 Detailed Results'!$A$5:$A$35,F133,'14 Detailed Results'!$J$5:$J$35)</f>
        <v>0</v>
      </c>
      <c r="J133" s="3" t="s">
        <v>61</v>
      </c>
      <c r="K133" s="3"/>
      <c r="L133" s="3"/>
      <c r="M133" s="3"/>
      <c r="N133" s="3" t="str">
        <f t="shared" si="11"/>
        <v>Not provided</v>
      </c>
      <c r="O133" s="3"/>
      <c r="P133" s="3" t="s">
        <v>43</v>
      </c>
      <c r="Q133">
        <f>IF('14 Detailed Results'!O16="","",'14 Detailed Results'!O16)</f>
        <v>0</v>
      </c>
      <c r="R133">
        <f>IF('14 Detailed Results'!P16="","",'14 Detailed Results'!P16)</f>
        <v>0</v>
      </c>
      <c r="S133">
        <f>IF('14 Detailed Results'!Q16="","",'14 Detailed Results'!Q16)</f>
        <v>0</v>
      </c>
      <c r="T133" t="str">
        <f>IF('14 Detailed Results'!R16="","",'14 Detailed Results'!R16)</f>
        <v>Service user</v>
      </c>
      <c r="U133" t="str">
        <f>IF('14 Detailed Results'!S16="","",'14 Detailed Results'!S16)</f>
        <v/>
      </c>
    </row>
    <row r="134" spans="1:21">
      <c r="A134" s="3">
        <f>'02 Hospice Setup'!$B$5</f>
        <v>0</v>
      </c>
      <c r="B134" s="3" t="str">
        <f>'02 Hospice Setup'!$H$5</f>
        <v>Version 5.1</v>
      </c>
      <c r="C134" s="3" t="str">
        <f>'02 Hospice Setup'!$E$6</f>
        <v>Actual</v>
      </c>
      <c r="D134" s="18">
        <f>'02 Hospice Setup'!$H$7</f>
        <v>0</v>
      </c>
      <c r="E134" s="3" t="s">
        <v>114</v>
      </c>
      <c r="F134" s="3" t="s">
        <v>136</v>
      </c>
      <c r="G134" s="3" t="s">
        <v>137</v>
      </c>
      <c r="H134" s="3" t="s">
        <v>564</v>
      </c>
      <c r="I134" s="19">
        <f>SUMIF('14 Detailed Results'!$A$5:$A$35,F134,'14 Detailed Results'!$K$5:$K$35)</f>
        <v>0</v>
      </c>
      <c r="J134" s="3" t="s">
        <v>706</v>
      </c>
      <c r="K134" s="3"/>
      <c r="L134" s="3"/>
      <c r="M134" s="3"/>
      <c r="N134" s="3" t="str">
        <f t="shared" si="11"/>
        <v>Not provided</v>
      </c>
      <c r="O134" s="3"/>
      <c r="P134" s="3" t="s">
        <v>43</v>
      </c>
      <c r="Q134">
        <f>IF('14 Detailed Results'!O16="","",'14 Detailed Results'!O16)</f>
        <v>0</v>
      </c>
      <c r="R134">
        <f>IF('14 Detailed Results'!P16="","",'14 Detailed Results'!P16)</f>
        <v>0</v>
      </c>
      <c r="S134">
        <f>IF('14 Detailed Results'!Q16="","",'14 Detailed Results'!Q16)</f>
        <v>0</v>
      </c>
      <c r="T134" t="str">
        <f>IF('14 Detailed Results'!R16="","",'14 Detailed Results'!R16)</f>
        <v>Service user</v>
      </c>
      <c r="U134" t="str">
        <f>IF('14 Detailed Results'!S16="","",'14 Detailed Results'!S16)</f>
        <v/>
      </c>
    </row>
    <row r="135" spans="1:21">
      <c r="A135" s="3">
        <f>'02 Hospice Setup'!$B$5</f>
        <v>0</v>
      </c>
      <c r="B135" s="3" t="str">
        <f>'02 Hospice Setup'!$H$5</f>
        <v>Version 5.1</v>
      </c>
      <c r="C135" s="3" t="str">
        <f>'02 Hospice Setup'!$E$6</f>
        <v>Actual</v>
      </c>
      <c r="D135" s="18">
        <f>'02 Hospice Setup'!$H$7</f>
        <v>0</v>
      </c>
      <c r="E135" s="3" t="s">
        <v>114</v>
      </c>
      <c r="F135" s="3" t="s">
        <v>136</v>
      </c>
      <c r="G135" s="3" t="s">
        <v>137</v>
      </c>
      <c r="H135" s="3" t="s">
        <v>708</v>
      </c>
      <c r="I135" s="19">
        <f>SUMIF('14 Detailed Results'!$A$5:$A$35,F135,'14 Detailed Results'!$L$5:$L$35)</f>
        <v>0</v>
      </c>
      <c r="J135" s="3" t="s">
        <v>427</v>
      </c>
      <c r="K135" s="3"/>
      <c r="L135" s="3"/>
      <c r="M135" s="3"/>
      <c r="N135" s="3" t="str">
        <f>IF(SUMIF('14 Detailed Results'!$A$5:$A$35,F135,'14 Detailed Results'!$F$5:$F$35)=0,"Not provided",IF(I135=0,"Not available","Complete"))</f>
        <v>Not provided</v>
      </c>
      <c r="O135" s="3" t="s">
        <v>709</v>
      </c>
      <c r="P135" s="3" t="s">
        <v>43</v>
      </c>
      <c r="Q135">
        <f>IF('14 Detailed Results'!O16="","",'14 Detailed Results'!O16)</f>
        <v>0</v>
      </c>
      <c r="R135">
        <f>IF('14 Detailed Results'!P16="","",'14 Detailed Results'!P16)</f>
        <v>0</v>
      </c>
      <c r="S135">
        <f>IF('14 Detailed Results'!Q16="","",'14 Detailed Results'!Q16)</f>
        <v>0</v>
      </c>
      <c r="T135" t="str">
        <f>IF('14 Detailed Results'!R16="","",'14 Detailed Results'!R16)</f>
        <v>Service user</v>
      </c>
      <c r="U135" t="str">
        <f>IF('14 Detailed Results'!S16="","",'14 Detailed Results'!S16)</f>
        <v/>
      </c>
    </row>
    <row r="136" spans="1:21">
      <c r="A136" s="3">
        <f>'02 Hospice Setup'!$B$5</f>
        <v>0</v>
      </c>
      <c r="B136" s="3" t="str">
        <f>'02 Hospice Setup'!$H$5</f>
        <v>Version 5.1</v>
      </c>
      <c r="C136" s="3" t="str">
        <f>'02 Hospice Setup'!$E$6</f>
        <v>Actual</v>
      </c>
      <c r="D136" s="18">
        <f>'02 Hospice Setup'!$H$7</f>
        <v>0</v>
      </c>
      <c r="E136" s="3" t="s">
        <v>114</v>
      </c>
      <c r="F136" s="3" t="s">
        <v>136</v>
      </c>
      <c r="G136" s="3" t="s">
        <v>137</v>
      </c>
      <c r="H136" s="3" t="s">
        <v>710</v>
      </c>
      <c r="I136" s="19">
        <f>SUMIF('14 Detailed Results'!$A$5:$A$35,F136,'14 Detailed Results'!$M$5:$M$35)</f>
        <v>0</v>
      </c>
      <c r="J136" s="3" t="s">
        <v>61</v>
      </c>
      <c r="K136" s="3"/>
      <c r="L136" s="3"/>
      <c r="M136" s="3"/>
      <c r="N136" s="3" t="str">
        <f>IF(SUMIF('14 Detailed Results'!$A$5:$A$35,F136,'14 Detailed Results'!$F$5:$F$35)=0,"Not provided",IF(I136=0,"Not available","Complete"))</f>
        <v>Not provided</v>
      </c>
      <c r="O136" s="3"/>
      <c r="P136" s="3" t="s">
        <v>43</v>
      </c>
      <c r="Q136">
        <f>IF('14 Detailed Results'!O16="","",'14 Detailed Results'!O16)</f>
        <v>0</v>
      </c>
      <c r="R136">
        <f>IF('14 Detailed Results'!P16="","",'14 Detailed Results'!P16)</f>
        <v>0</v>
      </c>
      <c r="S136">
        <f>IF('14 Detailed Results'!Q16="","",'14 Detailed Results'!Q16)</f>
        <v>0</v>
      </c>
      <c r="T136" t="str">
        <f>IF('14 Detailed Results'!R16="","",'14 Detailed Results'!R16)</f>
        <v>Service user</v>
      </c>
      <c r="U136" t="str">
        <f>IF('14 Detailed Results'!S16="","",'14 Detailed Results'!S16)</f>
        <v/>
      </c>
    </row>
    <row r="137" spans="1:21">
      <c r="A137" s="3">
        <f>'02 Hospice Setup'!$B$5</f>
        <v>0</v>
      </c>
      <c r="B137" s="3" t="str">
        <f>'02 Hospice Setup'!$H$5</f>
        <v>Version 5.1</v>
      </c>
      <c r="C137" s="3" t="str">
        <f>'02 Hospice Setup'!$E$6</f>
        <v>Actual</v>
      </c>
      <c r="D137" s="18">
        <f>'02 Hospice Setup'!$H$7</f>
        <v>0</v>
      </c>
      <c r="E137" s="3" t="s">
        <v>114</v>
      </c>
      <c r="F137" s="3" t="s">
        <v>138</v>
      </c>
      <c r="G137" s="3" t="s">
        <v>140</v>
      </c>
      <c r="H137" s="3" t="s">
        <v>559</v>
      </c>
      <c r="I137" s="19">
        <f>SUMIF('14 Detailed Results'!$A$5:$A$35,F137,'14 Detailed Results'!$C$5:$C$35)</f>
        <v>0</v>
      </c>
      <c r="J137" s="3" t="s">
        <v>61</v>
      </c>
      <c r="K137" s="3"/>
      <c r="L137" s="3"/>
      <c r="M137" s="3"/>
      <c r="N137" s="3" t="str">
        <f t="shared" ref="N137:N145" si="12">IF(I137=0,"Not provided","Complete")</f>
        <v>Not provided</v>
      </c>
      <c r="O137" s="3"/>
      <c r="P137" s="3" t="s">
        <v>43</v>
      </c>
      <c r="Q137">
        <f>IF('14 Detailed Results'!O17="","",'14 Detailed Results'!O17)</f>
        <v>0</v>
      </c>
      <c r="R137">
        <f>IF('14 Detailed Results'!P17="","",'14 Detailed Results'!P17)</f>
        <v>0</v>
      </c>
      <c r="S137">
        <f>IF('14 Detailed Results'!Q17="","",'14 Detailed Results'!Q17)</f>
        <v>0</v>
      </c>
      <c r="T137" t="str">
        <f>IF('14 Detailed Results'!R17="","",'14 Detailed Results'!R17)</f>
        <v>Service user</v>
      </c>
      <c r="U137" t="str">
        <f>IF('14 Detailed Results'!S17="","",'14 Detailed Results'!S17)</f>
        <v/>
      </c>
    </row>
    <row r="138" spans="1:21">
      <c r="A138" s="3">
        <f>'02 Hospice Setup'!$B$5</f>
        <v>0</v>
      </c>
      <c r="B138" s="3" t="str">
        <f>'02 Hospice Setup'!$H$5</f>
        <v>Version 5.1</v>
      </c>
      <c r="C138" s="3" t="str">
        <f>'02 Hospice Setup'!$E$6</f>
        <v>Actual</v>
      </c>
      <c r="D138" s="18">
        <f>'02 Hospice Setup'!$H$7</f>
        <v>0</v>
      </c>
      <c r="E138" s="3" t="s">
        <v>114</v>
      </c>
      <c r="F138" s="3" t="s">
        <v>138</v>
      </c>
      <c r="G138" s="3" t="s">
        <v>140</v>
      </c>
      <c r="H138" s="3" t="s">
        <v>560</v>
      </c>
      <c r="I138" s="19">
        <f>SUMIF('14 Detailed Results'!$A$5:$A$35,F138,'14 Detailed Results'!$D$5:$D$35)</f>
        <v>0</v>
      </c>
      <c r="J138" s="3" t="s">
        <v>61</v>
      </c>
      <c r="K138" s="3"/>
      <c r="L138" s="3"/>
      <c r="M138" s="3"/>
      <c r="N138" s="3" t="str">
        <f t="shared" si="12"/>
        <v>Not provided</v>
      </c>
      <c r="O138" s="3"/>
      <c r="P138" s="3" t="s">
        <v>43</v>
      </c>
      <c r="Q138">
        <f>IF('14 Detailed Results'!O17="","",'14 Detailed Results'!O17)</f>
        <v>0</v>
      </c>
      <c r="R138">
        <f>IF('14 Detailed Results'!P17="","",'14 Detailed Results'!P17)</f>
        <v>0</v>
      </c>
      <c r="S138">
        <f>IF('14 Detailed Results'!Q17="","",'14 Detailed Results'!Q17)</f>
        <v>0</v>
      </c>
      <c r="T138" t="str">
        <f>IF('14 Detailed Results'!R17="","",'14 Detailed Results'!R17)</f>
        <v>Service user</v>
      </c>
      <c r="U138" t="str">
        <f>IF('14 Detailed Results'!S17="","",'14 Detailed Results'!S17)</f>
        <v/>
      </c>
    </row>
    <row r="139" spans="1:21">
      <c r="A139" s="3">
        <f>'02 Hospice Setup'!$B$5</f>
        <v>0</v>
      </c>
      <c r="B139" s="3" t="str">
        <f>'02 Hospice Setup'!$H$5</f>
        <v>Version 5.1</v>
      </c>
      <c r="C139" s="3" t="str">
        <f>'02 Hospice Setup'!$E$6</f>
        <v>Actual</v>
      </c>
      <c r="D139" s="18">
        <f>'02 Hospice Setup'!$H$7</f>
        <v>0</v>
      </c>
      <c r="E139" s="3" t="s">
        <v>114</v>
      </c>
      <c r="F139" s="3" t="s">
        <v>138</v>
      </c>
      <c r="G139" s="3" t="s">
        <v>140</v>
      </c>
      <c r="H139" s="3" t="s">
        <v>570</v>
      </c>
      <c r="I139" s="19">
        <f>SUMIF('14 Detailed Results'!$A$5:$A$35,F139,'14 Detailed Results'!$E$5:$E$35)</f>
        <v>0</v>
      </c>
      <c r="J139" s="3" t="s">
        <v>61</v>
      </c>
      <c r="K139" s="3"/>
      <c r="L139" s="3"/>
      <c r="M139" s="3"/>
      <c r="N139" s="3" t="str">
        <f t="shared" si="12"/>
        <v>Not provided</v>
      </c>
      <c r="O139" s="3"/>
      <c r="P139" s="3" t="s">
        <v>43</v>
      </c>
      <c r="Q139">
        <f>IF('14 Detailed Results'!O17="","",'14 Detailed Results'!O17)</f>
        <v>0</v>
      </c>
      <c r="R139">
        <f>IF('14 Detailed Results'!P17="","",'14 Detailed Results'!P17)</f>
        <v>0</v>
      </c>
      <c r="S139">
        <f>IF('14 Detailed Results'!Q17="","",'14 Detailed Results'!Q17)</f>
        <v>0</v>
      </c>
      <c r="T139" t="str">
        <f>IF('14 Detailed Results'!R17="","",'14 Detailed Results'!R17)</f>
        <v>Service user</v>
      </c>
      <c r="U139" t="str">
        <f>IF('14 Detailed Results'!S17="","",'14 Detailed Results'!S17)</f>
        <v/>
      </c>
    </row>
    <row r="140" spans="1:21">
      <c r="A140" s="3">
        <f>'02 Hospice Setup'!$B$5</f>
        <v>0</v>
      </c>
      <c r="B140" s="3" t="str">
        <f>'02 Hospice Setup'!$H$5</f>
        <v>Version 5.1</v>
      </c>
      <c r="C140" s="3" t="str">
        <f>'02 Hospice Setup'!$E$6</f>
        <v>Actual</v>
      </c>
      <c r="D140" s="18">
        <f>'02 Hospice Setup'!$H$7</f>
        <v>0</v>
      </c>
      <c r="E140" s="3" t="s">
        <v>114</v>
      </c>
      <c r="F140" s="3" t="s">
        <v>138</v>
      </c>
      <c r="G140" s="3" t="s">
        <v>140</v>
      </c>
      <c r="H140" s="3" t="s">
        <v>561</v>
      </c>
      <c r="I140" s="19">
        <f>SUMIF('14 Detailed Results'!$A$5:$A$35,F140,'14 Detailed Results'!$F$5:$F$35)</f>
        <v>0</v>
      </c>
      <c r="J140" s="3" t="s">
        <v>61</v>
      </c>
      <c r="K140" s="3"/>
      <c r="L140" s="3"/>
      <c r="M140" s="3"/>
      <c r="N140" s="3" t="str">
        <f t="shared" si="12"/>
        <v>Not provided</v>
      </c>
      <c r="O140" s="3"/>
      <c r="P140" s="3" t="s">
        <v>43</v>
      </c>
      <c r="Q140">
        <f>IF('14 Detailed Results'!O17="","",'14 Detailed Results'!O17)</f>
        <v>0</v>
      </c>
      <c r="R140">
        <f>IF('14 Detailed Results'!P17="","",'14 Detailed Results'!P17)</f>
        <v>0</v>
      </c>
      <c r="S140">
        <f>IF('14 Detailed Results'!Q17="","",'14 Detailed Results'!Q17)</f>
        <v>0</v>
      </c>
      <c r="T140" t="str">
        <f>IF('14 Detailed Results'!R17="","",'14 Detailed Results'!R17)</f>
        <v>Service user</v>
      </c>
      <c r="U140" t="str">
        <f>IF('14 Detailed Results'!S17="","",'14 Detailed Results'!S17)</f>
        <v/>
      </c>
    </row>
    <row r="141" spans="1:21">
      <c r="A141" s="3">
        <f>'02 Hospice Setup'!$B$5</f>
        <v>0</v>
      </c>
      <c r="B141" s="3" t="str">
        <f>'02 Hospice Setup'!$H$5</f>
        <v>Version 5.1</v>
      </c>
      <c r="C141" s="3" t="str">
        <f>'02 Hospice Setup'!$E$6</f>
        <v>Actual</v>
      </c>
      <c r="D141" s="18">
        <f>'02 Hospice Setup'!$H$7</f>
        <v>0</v>
      </c>
      <c r="E141" s="3" t="s">
        <v>114</v>
      </c>
      <c r="F141" s="3" t="s">
        <v>138</v>
      </c>
      <c r="G141" s="3" t="s">
        <v>140</v>
      </c>
      <c r="H141" s="3" t="s">
        <v>382</v>
      </c>
      <c r="I141" s="19">
        <f>SUMIF('14 Detailed Results'!$A$5:$A$35,F141,'14 Detailed Results'!$G$5:$G$35)</f>
        <v>0</v>
      </c>
      <c r="J141" s="3" t="s">
        <v>403</v>
      </c>
      <c r="K141" s="3"/>
      <c r="L141" s="3"/>
      <c r="M141" s="3"/>
      <c r="N141" s="3" t="str">
        <f t="shared" si="12"/>
        <v>Not provided</v>
      </c>
      <c r="O141" s="3"/>
      <c r="P141" s="3" t="s">
        <v>43</v>
      </c>
      <c r="Q141">
        <f>IF('14 Detailed Results'!O17="","",'14 Detailed Results'!O17)</f>
        <v>0</v>
      </c>
      <c r="R141">
        <f>IF('14 Detailed Results'!P17="","",'14 Detailed Results'!P17)</f>
        <v>0</v>
      </c>
      <c r="S141">
        <f>IF('14 Detailed Results'!Q17="","",'14 Detailed Results'!Q17)</f>
        <v>0</v>
      </c>
      <c r="T141" t="str">
        <f>IF('14 Detailed Results'!R17="","",'14 Detailed Results'!R17)</f>
        <v>Service user</v>
      </c>
      <c r="U141" t="str">
        <f>IF('14 Detailed Results'!S17="","",'14 Detailed Results'!S17)</f>
        <v/>
      </c>
    </row>
    <row r="142" spans="1:21">
      <c r="A142" s="3">
        <f>'02 Hospice Setup'!$B$5</f>
        <v>0</v>
      </c>
      <c r="B142" s="3" t="str">
        <f>'02 Hospice Setup'!$H$5</f>
        <v>Version 5.1</v>
      </c>
      <c r="C142" s="3" t="str">
        <f>'02 Hospice Setup'!$E$6</f>
        <v>Actual</v>
      </c>
      <c r="D142" s="18">
        <f>'02 Hospice Setup'!$H$7</f>
        <v>0</v>
      </c>
      <c r="E142" s="3" t="s">
        <v>114</v>
      </c>
      <c r="F142" s="3" t="s">
        <v>138</v>
      </c>
      <c r="G142" s="3" t="s">
        <v>140</v>
      </c>
      <c r="H142" s="3" t="s">
        <v>386</v>
      </c>
      <c r="I142" s="19">
        <f>SUMIF('14 Detailed Results'!$A$5:$A$35,F142,'14 Detailed Results'!$H$5:$H$35)</f>
        <v>0</v>
      </c>
      <c r="J142" s="3" t="s">
        <v>403</v>
      </c>
      <c r="K142" s="3"/>
      <c r="L142" s="3"/>
      <c r="M142" s="3"/>
      <c r="N142" s="3" t="str">
        <f t="shared" si="12"/>
        <v>Not provided</v>
      </c>
      <c r="O142" s="3"/>
      <c r="P142" s="3" t="s">
        <v>43</v>
      </c>
      <c r="Q142">
        <f>IF('14 Detailed Results'!O17="","",'14 Detailed Results'!O17)</f>
        <v>0</v>
      </c>
      <c r="R142">
        <f>IF('14 Detailed Results'!P17="","",'14 Detailed Results'!P17)</f>
        <v>0</v>
      </c>
      <c r="S142">
        <f>IF('14 Detailed Results'!Q17="","",'14 Detailed Results'!Q17)</f>
        <v>0</v>
      </c>
      <c r="T142" t="str">
        <f>IF('14 Detailed Results'!R17="","",'14 Detailed Results'!R17)</f>
        <v>Service user</v>
      </c>
      <c r="U142" t="str">
        <f>IF('14 Detailed Results'!S17="","",'14 Detailed Results'!S17)</f>
        <v/>
      </c>
    </row>
    <row r="143" spans="1:21">
      <c r="A143" s="3">
        <f>'02 Hospice Setup'!$B$5</f>
        <v>0</v>
      </c>
      <c r="B143" s="3" t="str">
        <f>'02 Hospice Setup'!$H$5</f>
        <v>Version 5.1</v>
      </c>
      <c r="C143" s="3" t="str">
        <f>'02 Hospice Setup'!$E$6</f>
        <v>Actual</v>
      </c>
      <c r="D143" s="18">
        <f>'02 Hospice Setup'!$H$7</f>
        <v>0</v>
      </c>
      <c r="E143" s="3" t="s">
        <v>114</v>
      </c>
      <c r="F143" s="3" t="s">
        <v>138</v>
      </c>
      <c r="G143" s="3" t="s">
        <v>140</v>
      </c>
      <c r="H143" s="3" t="s">
        <v>704</v>
      </c>
      <c r="I143" s="19">
        <f>SUMIF('14 Detailed Results'!$A$5:$A$35,F143,'14 Detailed Results'!$I$5:$I$35)</f>
        <v>0</v>
      </c>
      <c r="J143" s="3" t="s">
        <v>61</v>
      </c>
      <c r="K143" s="3"/>
      <c r="L143" s="3"/>
      <c r="M143" s="3"/>
      <c r="N143" s="3" t="str">
        <f t="shared" si="12"/>
        <v>Not provided</v>
      </c>
      <c r="O143" s="3"/>
      <c r="P143" s="3" t="s">
        <v>43</v>
      </c>
      <c r="Q143">
        <f>IF('14 Detailed Results'!O17="","",'14 Detailed Results'!O17)</f>
        <v>0</v>
      </c>
      <c r="R143">
        <f>IF('14 Detailed Results'!P17="","",'14 Detailed Results'!P17)</f>
        <v>0</v>
      </c>
      <c r="S143">
        <f>IF('14 Detailed Results'!Q17="","",'14 Detailed Results'!Q17)</f>
        <v>0</v>
      </c>
      <c r="T143" t="str">
        <f>IF('14 Detailed Results'!R17="","",'14 Detailed Results'!R17)</f>
        <v>Service user</v>
      </c>
      <c r="U143" t="str">
        <f>IF('14 Detailed Results'!S17="","",'14 Detailed Results'!S17)</f>
        <v/>
      </c>
    </row>
    <row r="144" spans="1:21">
      <c r="A144" s="3">
        <f>'02 Hospice Setup'!$B$5</f>
        <v>0</v>
      </c>
      <c r="B144" s="3" t="str">
        <f>'02 Hospice Setup'!$H$5</f>
        <v>Version 5.1</v>
      </c>
      <c r="C144" s="3" t="str">
        <f>'02 Hospice Setup'!$E$6</f>
        <v>Actual</v>
      </c>
      <c r="D144" s="18">
        <f>'02 Hospice Setup'!$H$7</f>
        <v>0</v>
      </c>
      <c r="E144" s="3" t="s">
        <v>114</v>
      </c>
      <c r="F144" s="3" t="s">
        <v>138</v>
      </c>
      <c r="G144" s="3" t="s">
        <v>140</v>
      </c>
      <c r="H144" s="3" t="s">
        <v>705</v>
      </c>
      <c r="I144" s="19">
        <f>SUMIF('14 Detailed Results'!$A$5:$A$35,F144,'14 Detailed Results'!$J$5:$J$35)</f>
        <v>0</v>
      </c>
      <c r="J144" s="3" t="s">
        <v>61</v>
      </c>
      <c r="K144" s="3"/>
      <c r="L144" s="3"/>
      <c r="M144" s="3"/>
      <c r="N144" s="3" t="str">
        <f t="shared" si="12"/>
        <v>Not provided</v>
      </c>
      <c r="O144" s="3"/>
      <c r="P144" s="3" t="s">
        <v>43</v>
      </c>
      <c r="Q144">
        <f>IF('14 Detailed Results'!O17="","",'14 Detailed Results'!O17)</f>
        <v>0</v>
      </c>
      <c r="R144">
        <f>IF('14 Detailed Results'!P17="","",'14 Detailed Results'!P17)</f>
        <v>0</v>
      </c>
      <c r="S144">
        <f>IF('14 Detailed Results'!Q17="","",'14 Detailed Results'!Q17)</f>
        <v>0</v>
      </c>
      <c r="T144" t="str">
        <f>IF('14 Detailed Results'!R17="","",'14 Detailed Results'!R17)</f>
        <v>Service user</v>
      </c>
      <c r="U144" t="str">
        <f>IF('14 Detailed Results'!S17="","",'14 Detailed Results'!S17)</f>
        <v/>
      </c>
    </row>
    <row r="145" spans="1:21">
      <c r="A145" s="3">
        <f>'02 Hospice Setup'!$B$5</f>
        <v>0</v>
      </c>
      <c r="B145" s="3" t="str">
        <f>'02 Hospice Setup'!$H$5</f>
        <v>Version 5.1</v>
      </c>
      <c r="C145" s="3" t="str">
        <f>'02 Hospice Setup'!$E$6</f>
        <v>Actual</v>
      </c>
      <c r="D145" s="18">
        <f>'02 Hospice Setup'!$H$7</f>
        <v>0</v>
      </c>
      <c r="E145" s="3" t="s">
        <v>114</v>
      </c>
      <c r="F145" s="3" t="s">
        <v>138</v>
      </c>
      <c r="G145" s="3" t="s">
        <v>140</v>
      </c>
      <c r="H145" s="3" t="s">
        <v>564</v>
      </c>
      <c r="I145" s="19">
        <f>SUMIF('14 Detailed Results'!$A$5:$A$35,F145,'14 Detailed Results'!$K$5:$K$35)</f>
        <v>0</v>
      </c>
      <c r="J145" s="3" t="s">
        <v>706</v>
      </c>
      <c r="K145" s="3"/>
      <c r="L145" s="3"/>
      <c r="M145" s="3"/>
      <c r="N145" s="3" t="str">
        <f t="shared" si="12"/>
        <v>Not provided</v>
      </c>
      <c r="O145" s="3"/>
      <c r="P145" s="3" t="s">
        <v>43</v>
      </c>
      <c r="Q145">
        <f>IF('14 Detailed Results'!O17="","",'14 Detailed Results'!O17)</f>
        <v>0</v>
      </c>
      <c r="R145">
        <f>IF('14 Detailed Results'!P17="","",'14 Detailed Results'!P17)</f>
        <v>0</v>
      </c>
      <c r="S145">
        <f>IF('14 Detailed Results'!Q17="","",'14 Detailed Results'!Q17)</f>
        <v>0</v>
      </c>
      <c r="T145" t="str">
        <f>IF('14 Detailed Results'!R17="","",'14 Detailed Results'!R17)</f>
        <v>Service user</v>
      </c>
      <c r="U145" t="str">
        <f>IF('14 Detailed Results'!S17="","",'14 Detailed Results'!S17)</f>
        <v/>
      </c>
    </row>
    <row r="146" spans="1:21">
      <c r="A146" s="3">
        <f>'02 Hospice Setup'!$B$5</f>
        <v>0</v>
      </c>
      <c r="B146" s="3" t="str">
        <f>'02 Hospice Setup'!$H$5</f>
        <v>Version 5.1</v>
      </c>
      <c r="C146" s="3" t="str">
        <f>'02 Hospice Setup'!$E$6</f>
        <v>Actual</v>
      </c>
      <c r="D146" s="18">
        <f>'02 Hospice Setup'!$H$7</f>
        <v>0</v>
      </c>
      <c r="E146" s="3" t="s">
        <v>114</v>
      </c>
      <c r="F146" s="3" t="s">
        <v>138</v>
      </c>
      <c r="G146" s="3" t="s">
        <v>140</v>
      </c>
      <c r="H146" s="3" t="s">
        <v>708</v>
      </c>
      <c r="I146" s="19">
        <f>SUMIF('14 Detailed Results'!$A$5:$A$35,F146,'14 Detailed Results'!$L$5:$L$35)</f>
        <v>0</v>
      </c>
      <c r="J146" s="3" t="s">
        <v>427</v>
      </c>
      <c r="K146" s="3"/>
      <c r="L146" s="3"/>
      <c r="M146" s="3"/>
      <c r="N146" s="3" t="str">
        <f>IF(SUMIF('14 Detailed Results'!$A$5:$A$35,F146,'14 Detailed Results'!$F$5:$F$35)=0,"Not provided",IF(I146=0,"Not available","Complete"))</f>
        <v>Not provided</v>
      </c>
      <c r="O146" s="3" t="s">
        <v>709</v>
      </c>
      <c r="P146" s="3" t="s">
        <v>43</v>
      </c>
      <c r="Q146">
        <f>IF('14 Detailed Results'!O17="","",'14 Detailed Results'!O17)</f>
        <v>0</v>
      </c>
      <c r="R146">
        <f>IF('14 Detailed Results'!P17="","",'14 Detailed Results'!P17)</f>
        <v>0</v>
      </c>
      <c r="S146">
        <f>IF('14 Detailed Results'!Q17="","",'14 Detailed Results'!Q17)</f>
        <v>0</v>
      </c>
      <c r="T146" t="str">
        <f>IF('14 Detailed Results'!R17="","",'14 Detailed Results'!R17)</f>
        <v>Service user</v>
      </c>
      <c r="U146" t="str">
        <f>IF('14 Detailed Results'!S17="","",'14 Detailed Results'!S17)</f>
        <v/>
      </c>
    </row>
    <row r="147" spans="1:21">
      <c r="A147" s="3">
        <f>'02 Hospice Setup'!$B$5</f>
        <v>0</v>
      </c>
      <c r="B147" s="3" t="str">
        <f>'02 Hospice Setup'!$H$5</f>
        <v>Version 5.1</v>
      </c>
      <c r="C147" s="3" t="str">
        <f>'02 Hospice Setup'!$E$6</f>
        <v>Actual</v>
      </c>
      <c r="D147" s="18">
        <f>'02 Hospice Setup'!$H$7</f>
        <v>0</v>
      </c>
      <c r="E147" s="3" t="s">
        <v>114</v>
      </c>
      <c r="F147" s="3" t="s">
        <v>138</v>
      </c>
      <c r="G147" s="3" t="s">
        <v>140</v>
      </c>
      <c r="H147" s="3" t="s">
        <v>710</v>
      </c>
      <c r="I147" s="19">
        <f>SUMIF('14 Detailed Results'!$A$5:$A$35,F147,'14 Detailed Results'!$M$5:$M$35)</f>
        <v>0</v>
      </c>
      <c r="J147" s="3" t="s">
        <v>61</v>
      </c>
      <c r="K147" s="3"/>
      <c r="L147" s="3"/>
      <c r="M147" s="3"/>
      <c r="N147" s="3" t="str">
        <f>IF(SUMIF('14 Detailed Results'!$A$5:$A$35,F147,'14 Detailed Results'!$F$5:$F$35)=0,"Not provided",IF(I147=0,"Not available","Complete"))</f>
        <v>Not provided</v>
      </c>
      <c r="O147" s="3"/>
      <c r="P147" s="3" t="s">
        <v>43</v>
      </c>
      <c r="Q147">
        <f>IF('14 Detailed Results'!O17="","",'14 Detailed Results'!O17)</f>
        <v>0</v>
      </c>
      <c r="R147">
        <f>IF('14 Detailed Results'!P17="","",'14 Detailed Results'!P17)</f>
        <v>0</v>
      </c>
      <c r="S147">
        <f>IF('14 Detailed Results'!Q17="","",'14 Detailed Results'!Q17)</f>
        <v>0</v>
      </c>
      <c r="T147" t="str">
        <f>IF('14 Detailed Results'!R17="","",'14 Detailed Results'!R17)</f>
        <v>Service user</v>
      </c>
      <c r="U147" t="str">
        <f>IF('14 Detailed Results'!S17="","",'14 Detailed Results'!S17)</f>
        <v/>
      </c>
    </row>
    <row r="148" spans="1:21">
      <c r="A148" s="3">
        <f>'02 Hospice Setup'!$B$5</f>
        <v>0</v>
      </c>
      <c r="B148" s="3" t="str">
        <f>'02 Hospice Setup'!$H$5</f>
        <v>Version 5.1</v>
      </c>
      <c r="C148" s="3" t="str">
        <f>'02 Hospice Setup'!$E$6</f>
        <v>Actual</v>
      </c>
      <c r="D148" s="18">
        <f>'02 Hospice Setup'!$H$7</f>
        <v>0</v>
      </c>
      <c r="E148" s="3" t="s">
        <v>114</v>
      </c>
      <c r="F148" s="3" t="s">
        <v>141</v>
      </c>
      <c r="G148" s="3" t="s">
        <v>142</v>
      </c>
      <c r="H148" s="3" t="s">
        <v>559</v>
      </c>
      <c r="I148" s="19">
        <f>SUMIF('14 Detailed Results'!$A$5:$A$35,F148,'14 Detailed Results'!$C$5:$C$35)</f>
        <v>0</v>
      </c>
      <c r="J148" s="3" t="s">
        <v>61</v>
      </c>
      <c r="K148" s="3"/>
      <c r="L148" s="3"/>
      <c r="M148" s="3"/>
      <c r="N148" s="3" t="str">
        <f t="shared" ref="N148:N156" si="13">IF(I148=0,"Not provided","Complete")</f>
        <v>Not provided</v>
      </c>
      <c r="O148" s="3"/>
      <c r="P148" s="3" t="s">
        <v>43</v>
      </c>
      <c r="Q148">
        <f>IF('14 Detailed Results'!O18="","",'14 Detailed Results'!O18)</f>
        <v>0</v>
      </c>
      <c r="R148">
        <f>IF('14 Detailed Results'!P18="","",'14 Detailed Results'!P18)</f>
        <v>0</v>
      </c>
      <c r="S148">
        <f>IF('14 Detailed Results'!Q18="","",'14 Detailed Results'!Q18)</f>
        <v>0</v>
      </c>
      <c r="T148" t="str">
        <f>IF('14 Detailed Results'!R18="","",'14 Detailed Results'!R18)</f>
        <v>Service user</v>
      </c>
      <c r="U148" t="str">
        <f>IF('14 Detailed Results'!S18="","",'14 Detailed Results'!S18)</f>
        <v/>
      </c>
    </row>
    <row r="149" spans="1:21">
      <c r="A149" s="3">
        <f>'02 Hospice Setup'!$B$5</f>
        <v>0</v>
      </c>
      <c r="B149" s="3" t="str">
        <f>'02 Hospice Setup'!$H$5</f>
        <v>Version 5.1</v>
      </c>
      <c r="C149" s="3" t="str">
        <f>'02 Hospice Setup'!$E$6</f>
        <v>Actual</v>
      </c>
      <c r="D149" s="18">
        <f>'02 Hospice Setup'!$H$7</f>
        <v>0</v>
      </c>
      <c r="E149" s="3" t="s">
        <v>114</v>
      </c>
      <c r="F149" s="3" t="s">
        <v>141</v>
      </c>
      <c r="G149" s="3" t="s">
        <v>142</v>
      </c>
      <c r="H149" s="3" t="s">
        <v>560</v>
      </c>
      <c r="I149" s="19">
        <f>SUMIF('14 Detailed Results'!$A$5:$A$35,F149,'14 Detailed Results'!$D$5:$D$35)</f>
        <v>0</v>
      </c>
      <c r="J149" s="3" t="s">
        <v>61</v>
      </c>
      <c r="K149" s="3"/>
      <c r="L149" s="3"/>
      <c r="M149" s="3"/>
      <c r="N149" s="3" t="str">
        <f t="shared" si="13"/>
        <v>Not provided</v>
      </c>
      <c r="O149" s="3"/>
      <c r="P149" s="3" t="s">
        <v>43</v>
      </c>
      <c r="Q149">
        <f>IF('14 Detailed Results'!O18="","",'14 Detailed Results'!O18)</f>
        <v>0</v>
      </c>
      <c r="R149">
        <f>IF('14 Detailed Results'!P18="","",'14 Detailed Results'!P18)</f>
        <v>0</v>
      </c>
      <c r="S149">
        <f>IF('14 Detailed Results'!Q18="","",'14 Detailed Results'!Q18)</f>
        <v>0</v>
      </c>
      <c r="T149" t="str">
        <f>IF('14 Detailed Results'!R18="","",'14 Detailed Results'!R18)</f>
        <v>Service user</v>
      </c>
      <c r="U149" t="str">
        <f>IF('14 Detailed Results'!S18="","",'14 Detailed Results'!S18)</f>
        <v/>
      </c>
    </row>
    <row r="150" spans="1:21">
      <c r="A150" s="3">
        <f>'02 Hospice Setup'!$B$5</f>
        <v>0</v>
      </c>
      <c r="B150" s="3" t="str">
        <f>'02 Hospice Setup'!$H$5</f>
        <v>Version 5.1</v>
      </c>
      <c r="C150" s="3" t="str">
        <f>'02 Hospice Setup'!$E$6</f>
        <v>Actual</v>
      </c>
      <c r="D150" s="18">
        <f>'02 Hospice Setup'!$H$7</f>
        <v>0</v>
      </c>
      <c r="E150" s="3" t="s">
        <v>114</v>
      </c>
      <c r="F150" s="3" t="s">
        <v>141</v>
      </c>
      <c r="G150" s="3" t="s">
        <v>142</v>
      </c>
      <c r="H150" s="3" t="s">
        <v>570</v>
      </c>
      <c r="I150" s="19">
        <f>SUMIF('14 Detailed Results'!$A$5:$A$35,F150,'14 Detailed Results'!$E$5:$E$35)</f>
        <v>0</v>
      </c>
      <c r="J150" s="3" t="s">
        <v>61</v>
      </c>
      <c r="K150" s="3"/>
      <c r="L150" s="3"/>
      <c r="M150" s="3"/>
      <c r="N150" s="3" t="str">
        <f t="shared" si="13"/>
        <v>Not provided</v>
      </c>
      <c r="O150" s="3"/>
      <c r="P150" s="3" t="s">
        <v>43</v>
      </c>
      <c r="Q150">
        <f>IF('14 Detailed Results'!O18="","",'14 Detailed Results'!O18)</f>
        <v>0</v>
      </c>
      <c r="R150">
        <f>IF('14 Detailed Results'!P18="","",'14 Detailed Results'!P18)</f>
        <v>0</v>
      </c>
      <c r="S150">
        <f>IF('14 Detailed Results'!Q18="","",'14 Detailed Results'!Q18)</f>
        <v>0</v>
      </c>
      <c r="T150" t="str">
        <f>IF('14 Detailed Results'!R18="","",'14 Detailed Results'!R18)</f>
        <v>Service user</v>
      </c>
      <c r="U150" t="str">
        <f>IF('14 Detailed Results'!S18="","",'14 Detailed Results'!S18)</f>
        <v/>
      </c>
    </row>
    <row r="151" spans="1:21">
      <c r="A151" s="3">
        <f>'02 Hospice Setup'!$B$5</f>
        <v>0</v>
      </c>
      <c r="B151" s="3" t="str">
        <f>'02 Hospice Setup'!$H$5</f>
        <v>Version 5.1</v>
      </c>
      <c r="C151" s="3" t="str">
        <f>'02 Hospice Setup'!$E$6</f>
        <v>Actual</v>
      </c>
      <c r="D151" s="18">
        <f>'02 Hospice Setup'!$H$7</f>
        <v>0</v>
      </c>
      <c r="E151" s="3" t="s">
        <v>114</v>
      </c>
      <c r="F151" s="3" t="s">
        <v>141</v>
      </c>
      <c r="G151" s="3" t="s">
        <v>142</v>
      </c>
      <c r="H151" s="3" t="s">
        <v>561</v>
      </c>
      <c r="I151" s="19">
        <f>SUMIF('14 Detailed Results'!$A$5:$A$35,F151,'14 Detailed Results'!$F$5:$F$35)</f>
        <v>0</v>
      </c>
      <c r="J151" s="3" t="s">
        <v>61</v>
      </c>
      <c r="K151" s="3"/>
      <c r="L151" s="3"/>
      <c r="M151" s="3"/>
      <c r="N151" s="3" t="str">
        <f t="shared" si="13"/>
        <v>Not provided</v>
      </c>
      <c r="O151" s="3"/>
      <c r="P151" s="3" t="s">
        <v>43</v>
      </c>
      <c r="Q151">
        <f>IF('14 Detailed Results'!O18="","",'14 Detailed Results'!O18)</f>
        <v>0</v>
      </c>
      <c r="R151">
        <f>IF('14 Detailed Results'!P18="","",'14 Detailed Results'!P18)</f>
        <v>0</v>
      </c>
      <c r="S151">
        <f>IF('14 Detailed Results'!Q18="","",'14 Detailed Results'!Q18)</f>
        <v>0</v>
      </c>
      <c r="T151" t="str">
        <f>IF('14 Detailed Results'!R18="","",'14 Detailed Results'!R18)</f>
        <v>Service user</v>
      </c>
      <c r="U151" t="str">
        <f>IF('14 Detailed Results'!S18="","",'14 Detailed Results'!S18)</f>
        <v/>
      </c>
    </row>
    <row r="152" spans="1:21">
      <c r="A152" s="3">
        <f>'02 Hospice Setup'!$B$5</f>
        <v>0</v>
      </c>
      <c r="B152" s="3" t="str">
        <f>'02 Hospice Setup'!$H$5</f>
        <v>Version 5.1</v>
      </c>
      <c r="C152" s="3" t="str">
        <f>'02 Hospice Setup'!$E$6</f>
        <v>Actual</v>
      </c>
      <c r="D152" s="18">
        <f>'02 Hospice Setup'!$H$7</f>
        <v>0</v>
      </c>
      <c r="E152" s="3" t="s">
        <v>114</v>
      </c>
      <c r="F152" s="3" t="s">
        <v>141</v>
      </c>
      <c r="G152" s="3" t="s">
        <v>142</v>
      </c>
      <c r="H152" s="3" t="s">
        <v>382</v>
      </c>
      <c r="I152" s="19">
        <f>SUMIF('14 Detailed Results'!$A$5:$A$35,F152,'14 Detailed Results'!$G$5:$G$35)</f>
        <v>0</v>
      </c>
      <c r="J152" s="3" t="s">
        <v>403</v>
      </c>
      <c r="K152" s="3"/>
      <c r="L152" s="3"/>
      <c r="M152" s="3"/>
      <c r="N152" s="3" t="str">
        <f t="shared" si="13"/>
        <v>Not provided</v>
      </c>
      <c r="O152" s="3"/>
      <c r="P152" s="3" t="s">
        <v>43</v>
      </c>
      <c r="Q152">
        <f>IF('14 Detailed Results'!O18="","",'14 Detailed Results'!O18)</f>
        <v>0</v>
      </c>
      <c r="R152">
        <f>IF('14 Detailed Results'!P18="","",'14 Detailed Results'!P18)</f>
        <v>0</v>
      </c>
      <c r="S152">
        <f>IF('14 Detailed Results'!Q18="","",'14 Detailed Results'!Q18)</f>
        <v>0</v>
      </c>
      <c r="T152" t="str">
        <f>IF('14 Detailed Results'!R18="","",'14 Detailed Results'!R18)</f>
        <v>Service user</v>
      </c>
      <c r="U152" t="str">
        <f>IF('14 Detailed Results'!S18="","",'14 Detailed Results'!S18)</f>
        <v/>
      </c>
    </row>
    <row r="153" spans="1:21">
      <c r="A153" s="3">
        <f>'02 Hospice Setup'!$B$5</f>
        <v>0</v>
      </c>
      <c r="B153" s="3" t="str">
        <f>'02 Hospice Setup'!$H$5</f>
        <v>Version 5.1</v>
      </c>
      <c r="C153" s="3" t="str">
        <f>'02 Hospice Setup'!$E$6</f>
        <v>Actual</v>
      </c>
      <c r="D153" s="18">
        <f>'02 Hospice Setup'!$H$7</f>
        <v>0</v>
      </c>
      <c r="E153" s="3" t="s">
        <v>114</v>
      </c>
      <c r="F153" s="3" t="s">
        <v>141</v>
      </c>
      <c r="G153" s="3" t="s">
        <v>142</v>
      </c>
      <c r="H153" s="3" t="s">
        <v>386</v>
      </c>
      <c r="I153" s="19">
        <f>SUMIF('14 Detailed Results'!$A$5:$A$35,F153,'14 Detailed Results'!$H$5:$H$35)</f>
        <v>0</v>
      </c>
      <c r="J153" s="3" t="s">
        <v>403</v>
      </c>
      <c r="K153" s="3"/>
      <c r="L153" s="3"/>
      <c r="M153" s="3"/>
      <c r="N153" s="3" t="str">
        <f t="shared" si="13"/>
        <v>Not provided</v>
      </c>
      <c r="O153" s="3"/>
      <c r="P153" s="3" t="s">
        <v>43</v>
      </c>
      <c r="Q153">
        <f>IF('14 Detailed Results'!O18="","",'14 Detailed Results'!O18)</f>
        <v>0</v>
      </c>
      <c r="R153">
        <f>IF('14 Detailed Results'!P18="","",'14 Detailed Results'!P18)</f>
        <v>0</v>
      </c>
      <c r="S153">
        <f>IF('14 Detailed Results'!Q18="","",'14 Detailed Results'!Q18)</f>
        <v>0</v>
      </c>
      <c r="T153" t="str">
        <f>IF('14 Detailed Results'!R18="","",'14 Detailed Results'!R18)</f>
        <v>Service user</v>
      </c>
      <c r="U153" t="str">
        <f>IF('14 Detailed Results'!S18="","",'14 Detailed Results'!S18)</f>
        <v/>
      </c>
    </row>
    <row r="154" spans="1:21">
      <c r="A154" s="3">
        <f>'02 Hospice Setup'!$B$5</f>
        <v>0</v>
      </c>
      <c r="B154" s="3" t="str">
        <f>'02 Hospice Setup'!$H$5</f>
        <v>Version 5.1</v>
      </c>
      <c r="C154" s="3" t="str">
        <f>'02 Hospice Setup'!$E$6</f>
        <v>Actual</v>
      </c>
      <c r="D154" s="18">
        <f>'02 Hospice Setup'!$H$7</f>
        <v>0</v>
      </c>
      <c r="E154" s="3" t="s">
        <v>114</v>
      </c>
      <c r="F154" s="3" t="s">
        <v>141</v>
      </c>
      <c r="G154" s="3" t="s">
        <v>142</v>
      </c>
      <c r="H154" s="3" t="s">
        <v>704</v>
      </c>
      <c r="I154" s="19">
        <f>SUMIF('14 Detailed Results'!$A$5:$A$35,F154,'14 Detailed Results'!$I$5:$I$35)</f>
        <v>0</v>
      </c>
      <c r="J154" s="3" t="s">
        <v>61</v>
      </c>
      <c r="K154" s="3"/>
      <c r="L154" s="3"/>
      <c r="M154" s="3"/>
      <c r="N154" s="3" t="str">
        <f t="shared" si="13"/>
        <v>Not provided</v>
      </c>
      <c r="O154" s="3"/>
      <c r="P154" s="3" t="s">
        <v>43</v>
      </c>
      <c r="Q154">
        <f>IF('14 Detailed Results'!O18="","",'14 Detailed Results'!O18)</f>
        <v>0</v>
      </c>
      <c r="R154">
        <f>IF('14 Detailed Results'!P18="","",'14 Detailed Results'!P18)</f>
        <v>0</v>
      </c>
      <c r="S154">
        <f>IF('14 Detailed Results'!Q18="","",'14 Detailed Results'!Q18)</f>
        <v>0</v>
      </c>
      <c r="T154" t="str">
        <f>IF('14 Detailed Results'!R18="","",'14 Detailed Results'!R18)</f>
        <v>Service user</v>
      </c>
      <c r="U154" t="str">
        <f>IF('14 Detailed Results'!S18="","",'14 Detailed Results'!S18)</f>
        <v/>
      </c>
    </row>
    <row r="155" spans="1:21">
      <c r="A155" s="3">
        <f>'02 Hospice Setup'!$B$5</f>
        <v>0</v>
      </c>
      <c r="B155" s="3" t="str">
        <f>'02 Hospice Setup'!$H$5</f>
        <v>Version 5.1</v>
      </c>
      <c r="C155" s="3" t="str">
        <f>'02 Hospice Setup'!$E$6</f>
        <v>Actual</v>
      </c>
      <c r="D155" s="18">
        <f>'02 Hospice Setup'!$H$7</f>
        <v>0</v>
      </c>
      <c r="E155" s="3" t="s">
        <v>114</v>
      </c>
      <c r="F155" s="3" t="s">
        <v>141</v>
      </c>
      <c r="G155" s="3" t="s">
        <v>142</v>
      </c>
      <c r="H155" s="3" t="s">
        <v>705</v>
      </c>
      <c r="I155" s="19">
        <f>SUMIF('14 Detailed Results'!$A$5:$A$35,F155,'14 Detailed Results'!$J$5:$J$35)</f>
        <v>0</v>
      </c>
      <c r="J155" s="3" t="s">
        <v>61</v>
      </c>
      <c r="K155" s="3"/>
      <c r="L155" s="3"/>
      <c r="M155" s="3"/>
      <c r="N155" s="3" t="str">
        <f t="shared" si="13"/>
        <v>Not provided</v>
      </c>
      <c r="O155" s="3"/>
      <c r="P155" s="3" t="s">
        <v>43</v>
      </c>
      <c r="Q155">
        <f>IF('14 Detailed Results'!O18="","",'14 Detailed Results'!O18)</f>
        <v>0</v>
      </c>
      <c r="R155">
        <f>IF('14 Detailed Results'!P18="","",'14 Detailed Results'!P18)</f>
        <v>0</v>
      </c>
      <c r="S155">
        <f>IF('14 Detailed Results'!Q18="","",'14 Detailed Results'!Q18)</f>
        <v>0</v>
      </c>
      <c r="T155" t="str">
        <f>IF('14 Detailed Results'!R18="","",'14 Detailed Results'!R18)</f>
        <v>Service user</v>
      </c>
      <c r="U155" t="str">
        <f>IF('14 Detailed Results'!S18="","",'14 Detailed Results'!S18)</f>
        <v/>
      </c>
    </row>
    <row r="156" spans="1:21">
      <c r="A156" s="3">
        <f>'02 Hospice Setup'!$B$5</f>
        <v>0</v>
      </c>
      <c r="B156" s="3" t="str">
        <f>'02 Hospice Setup'!$H$5</f>
        <v>Version 5.1</v>
      </c>
      <c r="C156" s="3" t="str">
        <f>'02 Hospice Setup'!$E$6</f>
        <v>Actual</v>
      </c>
      <c r="D156" s="18">
        <f>'02 Hospice Setup'!$H$7</f>
        <v>0</v>
      </c>
      <c r="E156" s="3" t="s">
        <v>114</v>
      </c>
      <c r="F156" s="3" t="s">
        <v>141</v>
      </c>
      <c r="G156" s="3" t="s">
        <v>142</v>
      </c>
      <c r="H156" s="3" t="s">
        <v>564</v>
      </c>
      <c r="I156" s="19">
        <f>SUMIF('14 Detailed Results'!$A$5:$A$35,F156,'14 Detailed Results'!$K$5:$K$35)</f>
        <v>0</v>
      </c>
      <c r="J156" s="3" t="s">
        <v>706</v>
      </c>
      <c r="K156" s="3"/>
      <c r="L156" s="3"/>
      <c r="M156" s="3"/>
      <c r="N156" s="3" t="str">
        <f t="shared" si="13"/>
        <v>Not provided</v>
      </c>
      <c r="O156" s="3"/>
      <c r="P156" s="3" t="s">
        <v>43</v>
      </c>
      <c r="Q156">
        <f>IF('14 Detailed Results'!O18="","",'14 Detailed Results'!O18)</f>
        <v>0</v>
      </c>
      <c r="R156">
        <f>IF('14 Detailed Results'!P18="","",'14 Detailed Results'!P18)</f>
        <v>0</v>
      </c>
      <c r="S156">
        <f>IF('14 Detailed Results'!Q18="","",'14 Detailed Results'!Q18)</f>
        <v>0</v>
      </c>
      <c r="T156" t="str">
        <f>IF('14 Detailed Results'!R18="","",'14 Detailed Results'!R18)</f>
        <v>Service user</v>
      </c>
      <c r="U156" t="str">
        <f>IF('14 Detailed Results'!S18="","",'14 Detailed Results'!S18)</f>
        <v/>
      </c>
    </row>
    <row r="157" spans="1:21">
      <c r="A157" s="3">
        <f>'02 Hospice Setup'!$B$5</f>
        <v>0</v>
      </c>
      <c r="B157" s="3" t="str">
        <f>'02 Hospice Setup'!$H$5</f>
        <v>Version 5.1</v>
      </c>
      <c r="C157" s="3" t="str">
        <f>'02 Hospice Setup'!$E$6</f>
        <v>Actual</v>
      </c>
      <c r="D157" s="18">
        <f>'02 Hospice Setup'!$H$7</f>
        <v>0</v>
      </c>
      <c r="E157" s="3" t="s">
        <v>114</v>
      </c>
      <c r="F157" s="3" t="s">
        <v>141</v>
      </c>
      <c r="G157" s="3" t="s">
        <v>142</v>
      </c>
      <c r="H157" s="3" t="s">
        <v>708</v>
      </c>
      <c r="I157" s="19">
        <f>SUMIF('14 Detailed Results'!$A$5:$A$35,F157,'14 Detailed Results'!$L$5:$L$35)</f>
        <v>0</v>
      </c>
      <c r="J157" s="3" t="s">
        <v>427</v>
      </c>
      <c r="K157" s="3"/>
      <c r="L157" s="3"/>
      <c r="M157" s="3"/>
      <c r="N157" s="3" t="str">
        <f>IF(SUMIF('14 Detailed Results'!$A$5:$A$35,F157,'14 Detailed Results'!$F$5:$F$35)=0,"Not provided",IF(I157=0,"Not available","Complete"))</f>
        <v>Not provided</v>
      </c>
      <c r="O157" s="3" t="s">
        <v>709</v>
      </c>
      <c r="P157" s="3" t="s">
        <v>43</v>
      </c>
      <c r="Q157">
        <f>IF('14 Detailed Results'!O18="","",'14 Detailed Results'!O18)</f>
        <v>0</v>
      </c>
      <c r="R157">
        <f>IF('14 Detailed Results'!P18="","",'14 Detailed Results'!P18)</f>
        <v>0</v>
      </c>
      <c r="S157">
        <f>IF('14 Detailed Results'!Q18="","",'14 Detailed Results'!Q18)</f>
        <v>0</v>
      </c>
      <c r="T157" t="str">
        <f>IF('14 Detailed Results'!R18="","",'14 Detailed Results'!R18)</f>
        <v>Service user</v>
      </c>
      <c r="U157" t="str">
        <f>IF('14 Detailed Results'!S18="","",'14 Detailed Results'!S18)</f>
        <v/>
      </c>
    </row>
    <row r="158" spans="1:21">
      <c r="A158" s="3">
        <f>'02 Hospice Setup'!$B$5</f>
        <v>0</v>
      </c>
      <c r="B158" s="3" t="str">
        <f>'02 Hospice Setup'!$H$5</f>
        <v>Version 5.1</v>
      </c>
      <c r="C158" s="3" t="str">
        <f>'02 Hospice Setup'!$E$6</f>
        <v>Actual</v>
      </c>
      <c r="D158" s="18">
        <f>'02 Hospice Setup'!$H$7</f>
        <v>0</v>
      </c>
      <c r="E158" s="3" t="s">
        <v>114</v>
      </c>
      <c r="F158" s="3" t="s">
        <v>141</v>
      </c>
      <c r="G158" s="3" t="s">
        <v>142</v>
      </c>
      <c r="H158" s="3" t="s">
        <v>710</v>
      </c>
      <c r="I158" s="19">
        <f>SUMIF('14 Detailed Results'!$A$5:$A$35,F158,'14 Detailed Results'!$M$5:$M$35)</f>
        <v>0</v>
      </c>
      <c r="J158" s="3" t="s">
        <v>61</v>
      </c>
      <c r="K158" s="3"/>
      <c r="L158" s="3"/>
      <c r="M158" s="3"/>
      <c r="N158" s="3" t="str">
        <f>IF(SUMIF('14 Detailed Results'!$A$5:$A$35,F158,'14 Detailed Results'!$F$5:$F$35)=0,"Not provided",IF(I158=0,"Not available","Complete"))</f>
        <v>Not provided</v>
      </c>
      <c r="O158" s="3"/>
      <c r="P158" s="3" t="s">
        <v>43</v>
      </c>
      <c r="Q158">
        <f>IF('14 Detailed Results'!O18="","",'14 Detailed Results'!O18)</f>
        <v>0</v>
      </c>
      <c r="R158">
        <f>IF('14 Detailed Results'!P18="","",'14 Detailed Results'!P18)</f>
        <v>0</v>
      </c>
      <c r="S158">
        <f>IF('14 Detailed Results'!Q18="","",'14 Detailed Results'!Q18)</f>
        <v>0</v>
      </c>
      <c r="T158" t="str">
        <f>IF('14 Detailed Results'!R18="","",'14 Detailed Results'!R18)</f>
        <v>Service user</v>
      </c>
      <c r="U158" t="str">
        <f>IF('14 Detailed Results'!S18="","",'14 Detailed Results'!S18)</f>
        <v/>
      </c>
    </row>
    <row r="159" spans="1:21">
      <c r="A159" s="3">
        <f>'02 Hospice Setup'!$B$5</f>
        <v>0</v>
      </c>
      <c r="B159" s="3" t="str">
        <f>'02 Hospice Setup'!$H$5</f>
        <v>Version 5.1</v>
      </c>
      <c r="C159" s="3" t="str">
        <f>'02 Hospice Setup'!$E$6</f>
        <v>Actual</v>
      </c>
      <c r="D159" s="18">
        <f>'02 Hospice Setup'!$H$7</f>
        <v>0</v>
      </c>
      <c r="E159" s="3" t="s">
        <v>114</v>
      </c>
      <c r="F159" s="3" t="s">
        <v>143</v>
      </c>
      <c r="G159" s="3" t="s">
        <v>144</v>
      </c>
      <c r="H159" s="3" t="s">
        <v>559</v>
      </c>
      <c r="I159" s="19">
        <f>SUMIF('14 Detailed Results'!$A$5:$A$35,F159,'14 Detailed Results'!$C$5:$C$35)</f>
        <v>0</v>
      </c>
      <c r="J159" s="3" t="s">
        <v>61</v>
      </c>
      <c r="K159" s="3"/>
      <c r="L159" s="3"/>
      <c r="M159" s="3"/>
      <c r="N159" s="3" t="str">
        <f t="shared" ref="N159:N167" si="14">IF(I159=0,"Not provided","Complete")</f>
        <v>Not provided</v>
      </c>
      <c r="O159" s="3"/>
      <c r="P159" s="3" t="s">
        <v>43</v>
      </c>
      <c r="Q159">
        <f>IF('14 Detailed Results'!O19="","",'14 Detailed Results'!O19)</f>
        <v>0</v>
      </c>
      <c r="R159">
        <f>IF('14 Detailed Results'!P19="","",'14 Detailed Results'!P19)</f>
        <v>0</v>
      </c>
      <c r="S159">
        <f>IF('14 Detailed Results'!Q19="","",'14 Detailed Results'!Q19)</f>
        <v>0</v>
      </c>
      <c r="T159" t="str">
        <f>IF('14 Detailed Results'!R19="","",'14 Detailed Results'!R19)</f>
        <v>Service user</v>
      </c>
      <c r="U159" t="str">
        <f>IF('14 Detailed Results'!S19="","",'14 Detailed Results'!S19)</f>
        <v/>
      </c>
    </row>
    <row r="160" spans="1:21">
      <c r="A160" s="3">
        <f>'02 Hospice Setup'!$B$5</f>
        <v>0</v>
      </c>
      <c r="B160" s="3" t="str">
        <f>'02 Hospice Setup'!$H$5</f>
        <v>Version 5.1</v>
      </c>
      <c r="C160" s="3" t="str">
        <f>'02 Hospice Setup'!$E$6</f>
        <v>Actual</v>
      </c>
      <c r="D160" s="18">
        <f>'02 Hospice Setup'!$H$7</f>
        <v>0</v>
      </c>
      <c r="E160" s="3" t="s">
        <v>114</v>
      </c>
      <c r="F160" s="3" t="s">
        <v>143</v>
      </c>
      <c r="G160" s="3" t="s">
        <v>144</v>
      </c>
      <c r="H160" s="3" t="s">
        <v>560</v>
      </c>
      <c r="I160" s="19">
        <f>SUMIF('14 Detailed Results'!$A$5:$A$35,F160,'14 Detailed Results'!$D$5:$D$35)</f>
        <v>0</v>
      </c>
      <c r="J160" s="3" t="s">
        <v>61</v>
      </c>
      <c r="K160" s="3"/>
      <c r="L160" s="3"/>
      <c r="M160" s="3"/>
      <c r="N160" s="3" t="str">
        <f t="shared" si="14"/>
        <v>Not provided</v>
      </c>
      <c r="O160" s="3"/>
      <c r="P160" s="3" t="s">
        <v>43</v>
      </c>
      <c r="Q160">
        <f>IF('14 Detailed Results'!O19="","",'14 Detailed Results'!O19)</f>
        <v>0</v>
      </c>
      <c r="R160">
        <f>IF('14 Detailed Results'!P19="","",'14 Detailed Results'!P19)</f>
        <v>0</v>
      </c>
      <c r="S160">
        <f>IF('14 Detailed Results'!Q19="","",'14 Detailed Results'!Q19)</f>
        <v>0</v>
      </c>
      <c r="T160" t="str">
        <f>IF('14 Detailed Results'!R19="","",'14 Detailed Results'!R19)</f>
        <v>Service user</v>
      </c>
      <c r="U160" t="str">
        <f>IF('14 Detailed Results'!S19="","",'14 Detailed Results'!S19)</f>
        <v/>
      </c>
    </row>
    <row r="161" spans="1:21">
      <c r="A161" s="3">
        <f>'02 Hospice Setup'!$B$5</f>
        <v>0</v>
      </c>
      <c r="B161" s="3" t="str">
        <f>'02 Hospice Setup'!$H$5</f>
        <v>Version 5.1</v>
      </c>
      <c r="C161" s="3" t="str">
        <f>'02 Hospice Setup'!$E$6</f>
        <v>Actual</v>
      </c>
      <c r="D161" s="18">
        <f>'02 Hospice Setup'!$H$7</f>
        <v>0</v>
      </c>
      <c r="E161" s="3" t="s">
        <v>114</v>
      </c>
      <c r="F161" s="3" t="s">
        <v>143</v>
      </c>
      <c r="G161" s="3" t="s">
        <v>144</v>
      </c>
      <c r="H161" s="3" t="s">
        <v>570</v>
      </c>
      <c r="I161" s="19">
        <f>SUMIF('14 Detailed Results'!$A$5:$A$35,F161,'14 Detailed Results'!$E$5:$E$35)</f>
        <v>0</v>
      </c>
      <c r="J161" s="3" t="s">
        <v>61</v>
      </c>
      <c r="K161" s="3"/>
      <c r="L161" s="3"/>
      <c r="M161" s="3"/>
      <c r="N161" s="3" t="str">
        <f t="shared" si="14"/>
        <v>Not provided</v>
      </c>
      <c r="O161" s="3"/>
      <c r="P161" s="3" t="s">
        <v>43</v>
      </c>
      <c r="Q161">
        <f>IF('14 Detailed Results'!O19="","",'14 Detailed Results'!O19)</f>
        <v>0</v>
      </c>
      <c r="R161">
        <f>IF('14 Detailed Results'!P19="","",'14 Detailed Results'!P19)</f>
        <v>0</v>
      </c>
      <c r="S161">
        <f>IF('14 Detailed Results'!Q19="","",'14 Detailed Results'!Q19)</f>
        <v>0</v>
      </c>
      <c r="T161" t="str">
        <f>IF('14 Detailed Results'!R19="","",'14 Detailed Results'!R19)</f>
        <v>Service user</v>
      </c>
      <c r="U161" t="str">
        <f>IF('14 Detailed Results'!S19="","",'14 Detailed Results'!S19)</f>
        <v/>
      </c>
    </row>
    <row r="162" spans="1:21">
      <c r="A162" s="3">
        <f>'02 Hospice Setup'!$B$5</f>
        <v>0</v>
      </c>
      <c r="B162" s="3" t="str">
        <f>'02 Hospice Setup'!$H$5</f>
        <v>Version 5.1</v>
      </c>
      <c r="C162" s="3" t="str">
        <f>'02 Hospice Setup'!$E$6</f>
        <v>Actual</v>
      </c>
      <c r="D162" s="18">
        <f>'02 Hospice Setup'!$H$7</f>
        <v>0</v>
      </c>
      <c r="E162" s="3" t="s">
        <v>114</v>
      </c>
      <c r="F162" s="3" t="s">
        <v>143</v>
      </c>
      <c r="G162" s="3" t="s">
        <v>144</v>
      </c>
      <c r="H162" s="3" t="s">
        <v>561</v>
      </c>
      <c r="I162" s="19">
        <f>SUMIF('14 Detailed Results'!$A$5:$A$35,F162,'14 Detailed Results'!$F$5:$F$35)</f>
        <v>0</v>
      </c>
      <c r="J162" s="3" t="s">
        <v>61</v>
      </c>
      <c r="K162" s="3"/>
      <c r="L162" s="3"/>
      <c r="M162" s="3"/>
      <c r="N162" s="3" t="str">
        <f t="shared" si="14"/>
        <v>Not provided</v>
      </c>
      <c r="O162" s="3"/>
      <c r="P162" s="3" t="s">
        <v>43</v>
      </c>
      <c r="Q162">
        <f>IF('14 Detailed Results'!O19="","",'14 Detailed Results'!O19)</f>
        <v>0</v>
      </c>
      <c r="R162">
        <f>IF('14 Detailed Results'!P19="","",'14 Detailed Results'!P19)</f>
        <v>0</v>
      </c>
      <c r="S162">
        <f>IF('14 Detailed Results'!Q19="","",'14 Detailed Results'!Q19)</f>
        <v>0</v>
      </c>
      <c r="T162" t="str">
        <f>IF('14 Detailed Results'!R19="","",'14 Detailed Results'!R19)</f>
        <v>Service user</v>
      </c>
      <c r="U162" t="str">
        <f>IF('14 Detailed Results'!S19="","",'14 Detailed Results'!S19)</f>
        <v/>
      </c>
    </row>
    <row r="163" spans="1:21">
      <c r="A163" s="3">
        <f>'02 Hospice Setup'!$B$5</f>
        <v>0</v>
      </c>
      <c r="B163" s="3" t="str">
        <f>'02 Hospice Setup'!$H$5</f>
        <v>Version 5.1</v>
      </c>
      <c r="C163" s="3" t="str">
        <f>'02 Hospice Setup'!$E$6</f>
        <v>Actual</v>
      </c>
      <c r="D163" s="18">
        <f>'02 Hospice Setup'!$H$7</f>
        <v>0</v>
      </c>
      <c r="E163" s="3" t="s">
        <v>114</v>
      </c>
      <c r="F163" s="3" t="s">
        <v>143</v>
      </c>
      <c r="G163" s="3" t="s">
        <v>144</v>
      </c>
      <c r="H163" s="3" t="s">
        <v>382</v>
      </c>
      <c r="I163" s="19">
        <f>SUMIF('14 Detailed Results'!$A$5:$A$35,F163,'14 Detailed Results'!$G$5:$G$35)</f>
        <v>0</v>
      </c>
      <c r="J163" s="3" t="s">
        <v>407</v>
      </c>
      <c r="K163" s="3"/>
      <c r="L163" s="3"/>
      <c r="M163" s="3"/>
      <c r="N163" s="3" t="str">
        <f t="shared" si="14"/>
        <v>Not provided</v>
      </c>
      <c r="O163" s="3"/>
      <c r="P163" s="3" t="s">
        <v>43</v>
      </c>
      <c r="Q163">
        <f>IF('14 Detailed Results'!O19="","",'14 Detailed Results'!O19)</f>
        <v>0</v>
      </c>
      <c r="R163">
        <f>IF('14 Detailed Results'!P19="","",'14 Detailed Results'!P19)</f>
        <v>0</v>
      </c>
      <c r="S163">
        <f>IF('14 Detailed Results'!Q19="","",'14 Detailed Results'!Q19)</f>
        <v>0</v>
      </c>
      <c r="T163" t="str">
        <f>IF('14 Detailed Results'!R19="","",'14 Detailed Results'!R19)</f>
        <v>Service user</v>
      </c>
      <c r="U163" t="str">
        <f>IF('14 Detailed Results'!S19="","",'14 Detailed Results'!S19)</f>
        <v/>
      </c>
    </row>
    <row r="164" spans="1:21">
      <c r="A164" s="3">
        <f>'02 Hospice Setup'!$B$5</f>
        <v>0</v>
      </c>
      <c r="B164" s="3" t="str">
        <f>'02 Hospice Setup'!$H$5</f>
        <v>Version 5.1</v>
      </c>
      <c r="C164" s="3" t="str">
        <f>'02 Hospice Setup'!$E$6</f>
        <v>Actual</v>
      </c>
      <c r="D164" s="18">
        <f>'02 Hospice Setup'!$H$7</f>
        <v>0</v>
      </c>
      <c r="E164" s="3" t="s">
        <v>114</v>
      </c>
      <c r="F164" s="3" t="s">
        <v>143</v>
      </c>
      <c r="G164" s="3" t="s">
        <v>144</v>
      </c>
      <c r="H164" s="3" t="s">
        <v>386</v>
      </c>
      <c r="I164" s="19">
        <f>SUMIF('14 Detailed Results'!$A$5:$A$35,F164,'14 Detailed Results'!$H$5:$H$35)</f>
        <v>0</v>
      </c>
      <c r="J164" s="3" t="s">
        <v>407</v>
      </c>
      <c r="K164" s="3"/>
      <c r="L164" s="3"/>
      <c r="M164" s="3"/>
      <c r="N164" s="3" t="str">
        <f t="shared" si="14"/>
        <v>Not provided</v>
      </c>
      <c r="O164" s="3"/>
      <c r="P164" s="3" t="s">
        <v>43</v>
      </c>
      <c r="Q164">
        <f>IF('14 Detailed Results'!O19="","",'14 Detailed Results'!O19)</f>
        <v>0</v>
      </c>
      <c r="R164">
        <f>IF('14 Detailed Results'!P19="","",'14 Detailed Results'!P19)</f>
        <v>0</v>
      </c>
      <c r="S164">
        <f>IF('14 Detailed Results'!Q19="","",'14 Detailed Results'!Q19)</f>
        <v>0</v>
      </c>
      <c r="T164" t="str">
        <f>IF('14 Detailed Results'!R19="","",'14 Detailed Results'!R19)</f>
        <v>Service user</v>
      </c>
      <c r="U164" t="str">
        <f>IF('14 Detailed Results'!S19="","",'14 Detailed Results'!S19)</f>
        <v/>
      </c>
    </row>
    <row r="165" spans="1:21">
      <c r="A165" s="3">
        <f>'02 Hospice Setup'!$B$5</f>
        <v>0</v>
      </c>
      <c r="B165" s="3" t="str">
        <f>'02 Hospice Setup'!$H$5</f>
        <v>Version 5.1</v>
      </c>
      <c r="C165" s="3" t="str">
        <f>'02 Hospice Setup'!$E$6</f>
        <v>Actual</v>
      </c>
      <c r="D165" s="18">
        <f>'02 Hospice Setup'!$H$7</f>
        <v>0</v>
      </c>
      <c r="E165" s="3" t="s">
        <v>114</v>
      </c>
      <c r="F165" s="3" t="s">
        <v>143</v>
      </c>
      <c r="G165" s="3" t="s">
        <v>144</v>
      </c>
      <c r="H165" s="3" t="s">
        <v>704</v>
      </c>
      <c r="I165" s="19">
        <f>SUMIF('14 Detailed Results'!$A$5:$A$35,F165,'14 Detailed Results'!$I$5:$I$35)</f>
        <v>0</v>
      </c>
      <c r="J165" s="3" t="s">
        <v>61</v>
      </c>
      <c r="K165" s="3"/>
      <c r="L165" s="3"/>
      <c r="M165" s="3"/>
      <c r="N165" s="3" t="str">
        <f t="shared" si="14"/>
        <v>Not provided</v>
      </c>
      <c r="O165" s="3"/>
      <c r="P165" s="3" t="s">
        <v>43</v>
      </c>
      <c r="Q165">
        <f>IF('14 Detailed Results'!O19="","",'14 Detailed Results'!O19)</f>
        <v>0</v>
      </c>
      <c r="R165">
        <f>IF('14 Detailed Results'!P19="","",'14 Detailed Results'!P19)</f>
        <v>0</v>
      </c>
      <c r="S165">
        <f>IF('14 Detailed Results'!Q19="","",'14 Detailed Results'!Q19)</f>
        <v>0</v>
      </c>
      <c r="T165" t="str">
        <f>IF('14 Detailed Results'!R19="","",'14 Detailed Results'!R19)</f>
        <v>Service user</v>
      </c>
      <c r="U165" t="str">
        <f>IF('14 Detailed Results'!S19="","",'14 Detailed Results'!S19)</f>
        <v/>
      </c>
    </row>
    <row r="166" spans="1:21">
      <c r="A166" s="3">
        <f>'02 Hospice Setup'!$B$5</f>
        <v>0</v>
      </c>
      <c r="B166" s="3" t="str">
        <f>'02 Hospice Setup'!$H$5</f>
        <v>Version 5.1</v>
      </c>
      <c r="C166" s="3" t="str">
        <f>'02 Hospice Setup'!$E$6</f>
        <v>Actual</v>
      </c>
      <c r="D166" s="18">
        <f>'02 Hospice Setup'!$H$7</f>
        <v>0</v>
      </c>
      <c r="E166" s="3" t="s">
        <v>114</v>
      </c>
      <c r="F166" s="3" t="s">
        <v>143</v>
      </c>
      <c r="G166" s="3" t="s">
        <v>144</v>
      </c>
      <c r="H166" s="3" t="s">
        <v>705</v>
      </c>
      <c r="I166" s="19">
        <f>SUMIF('14 Detailed Results'!$A$5:$A$35,F166,'14 Detailed Results'!$J$5:$J$35)</f>
        <v>0</v>
      </c>
      <c r="J166" s="3" t="s">
        <v>61</v>
      </c>
      <c r="K166" s="3"/>
      <c r="L166" s="3"/>
      <c r="M166" s="3"/>
      <c r="N166" s="3" t="str">
        <f t="shared" si="14"/>
        <v>Not provided</v>
      </c>
      <c r="O166" s="3"/>
      <c r="P166" s="3" t="s">
        <v>43</v>
      </c>
      <c r="Q166">
        <f>IF('14 Detailed Results'!O19="","",'14 Detailed Results'!O19)</f>
        <v>0</v>
      </c>
      <c r="R166">
        <f>IF('14 Detailed Results'!P19="","",'14 Detailed Results'!P19)</f>
        <v>0</v>
      </c>
      <c r="S166">
        <f>IF('14 Detailed Results'!Q19="","",'14 Detailed Results'!Q19)</f>
        <v>0</v>
      </c>
      <c r="T166" t="str">
        <f>IF('14 Detailed Results'!R19="","",'14 Detailed Results'!R19)</f>
        <v>Service user</v>
      </c>
      <c r="U166" t="str">
        <f>IF('14 Detailed Results'!S19="","",'14 Detailed Results'!S19)</f>
        <v/>
      </c>
    </row>
    <row r="167" spans="1:21">
      <c r="A167" s="3">
        <f>'02 Hospice Setup'!$B$5</f>
        <v>0</v>
      </c>
      <c r="B167" s="3" t="str">
        <f>'02 Hospice Setup'!$H$5</f>
        <v>Version 5.1</v>
      </c>
      <c r="C167" s="3" t="str">
        <f>'02 Hospice Setup'!$E$6</f>
        <v>Actual</v>
      </c>
      <c r="D167" s="18">
        <f>'02 Hospice Setup'!$H$7</f>
        <v>0</v>
      </c>
      <c r="E167" s="3" t="s">
        <v>114</v>
      </c>
      <c r="F167" s="3" t="s">
        <v>143</v>
      </c>
      <c r="G167" s="3" t="s">
        <v>144</v>
      </c>
      <c r="H167" s="3" t="s">
        <v>564</v>
      </c>
      <c r="I167" s="19">
        <f>SUMIF('14 Detailed Results'!$A$5:$A$35,F167,'14 Detailed Results'!$K$5:$K$35)</f>
        <v>0</v>
      </c>
      <c r="J167" s="3" t="s">
        <v>706</v>
      </c>
      <c r="K167" s="3"/>
      <c r="L167" s="3"/>
      <c r="M167" s="3"/>
      <c r="N167" s="3" t="str">
        <f t="shared" si="14"/>
        <v>Not provided</v>
      </c>
      <c r="O167" s="3"/>
      <c r="P167" s="3" t="s">
        <v>43</v>
      </c>
      <c r="Q167">
        <f>IF('14 Detailed Results'!O19="","",'14 Detailed Results'!O19)</f>
        <v>0</v>
      </c>
      <c r="R167">
        <f>IF('14 Detailed Results'!P19="","",'14 Detailed Results'!P19)</f>
        <v>0</v>
      </c>
      <c r="S167">
        <f>IF('14 Detailed Results'!Q19="","",'14 Detailed Results'!Q19)</f>
        <v>0</v>
      </c>
      <c r="T167" t="str">
        <f>IF('14 Detailed Results'!R19="","",'14 Detailed Results'!R19)</f>
        <v>Service user</v>
      </c>
      <c r="U167" t="str">
        <f>IF('14 Detailed Results'!S19="","",'14 Detailed Results'!S19)</f>
        <v/>
      </c>
    </row>
    <row r="168" spans="1:21">
      <c r="A168" s="3">
        <f>'02 Hospice Setup'!$B$5</f>
        <v>0</v>
      </c>
      <c r="B168" s="3" t="str">
        <f>'02 Hospice Setup'!$H$5</f>
        <v>Version 5.1</v>
      </c>
      <c r="C168" s="3" t="str">
        <f>'02 Hospice Setup'!$E$6</f>
        <v>Actual</v>
      </c>
      <c r="D168" s="18">
        <f>'02 Hospice Setup'!$H$7</f>
        <v>0</v>
      </c>
      <c r="E168" s="3" t="s">
        <v>114</v>
      </c>
      <c r="F168" s="3" t="s">
        <v>143</v>
      </c>
      <c r="G168" s="3" t="s">
        <v>144</v>
      </c>
      <c r="H168" s="3" t="s">
        <v>708</v>
      </c>
      <c r="I168" s="19">
        <f>SUMIF('14 Detailed Results'!$A$5:$A$35,F168,'14 Detailed Results'!$L$5:$L$35)</f>
        <v>0</v>
      </c>
      <c r="J168" s="3" t="s">
        <v>427</v>
      </c>
      <c r="K168" s="3"/>
      <c r="L168" s="3"/>
      <c r="M168" s="3"/>
      <c r="N168" s="3" t="str">
        <f>IF(SUMIF('14 Detailed Results'!$A$5:$A$35,F168,'14 Detailed Results'!$F$5:$F$35)=0,"Not provided",IF(I168=0,"Not available","Complete"))</f>
        <v>Not provided</v>
      </c>
      <c r="O168" s="3" t="s">
        <v>709</v>
      </c>
      <c r="P168" s="3" t="s">
        <v>43</v>
      </c>
      <c r="Q168">
        <f>IF('14 Detailed Results'!O19="","",'14 Detailed Results'!O19)</f>
        <v>0</v>
      </c>
      <c r="R168">
        <f>IF('14 Detailed Results'!P19="","",'14 Detailed Results'!P19)</f>
        <v>0</v>
      </c>
      <c r="S168">
        <f>IF('14 Detailed Results'!Q19="","",'14 Detailed Results'!Q19)</f>
        <v>0</v>
      </c>
      <c r="T168" t="str">
        <f>IF('14 Detailed Results'!R19="","",'14 Detailed Results'!R19)</f>
        <v>Service user</v>
      </c>
      <c r="U168" t="str">
        <f>IF('14 Detailed Results'!S19="","",'14 Detailed Results'!S19)</f>
        <v/>
      </c>
    </row>
    <row r="169" spans="1:21">
      <c r="A169" s="3">
        <f>'02 Hospice Setup'!$B$5</f>
        <v>0</v>
      </c>
      <c r="B169" s="3" t="str">
        <f>'02 Hospice Setup'!$H$5</f>
        <v>Version 5.1</v>
      </c>
      <c r="C169" s="3" t="str">
        <f>'02 Hospice Setup'!$E$6</f>
        <v>Actual</v>
      </c>
      <c r="D169" s="18">
        <f>'02 Hospice Setup'!$H$7</f>
        <v>0</v>
      </c>
      <c r="E169" s="3" t="s">
        <v>114</v>
      </c>
      <c r="F169" s="3" t="s">
        <v>143</v>
      </c>
      <c r="G169" s="3" t="s">
        <v>144</v>
      </c>
      <c r="H169" s="3" t="s">
        <v>710</v>
      </c>
      <c r="I169" s="19">
        <f>SUMIF('14 Detailed Results'!$A$5:$A$35,F169,'14 Detailed Results'!$M$5:$M$35)</f>
        <v>0</v>
      </c>
      <c r="J169" s="3" t="s">
        <v>61</v>
      </c>
      <c r="K169" s="3"/>
      <c r="L169" s="3"/>
      <c r="M169" s="3"/>
      <c r="N169" s="3" t="str">
        <f>IF(SUMIF('14 Detailed Results'!$A$5:$A$35,F169,'14 Detailed Results'!$F$5:$F$35)=0,"Not provided",IF(I169=0,"Not available","Complete"))</f>
        <v>Not provided</v>
      </c>
      <c r="O169" s="3"/>
      <c r="P169" s="3" t="s">
        <v>43</v>
      </c>
      <c r="Q169">
        <f>IF('14 Detailed Results'!O19="","",'14 Detailed Results'!O19)</f>
        <v>0</v>
      </c>
      <c r="R169">
        <f>IF('14 Detailed Results'!P19="","",'14 Detailed Results'!P19)</f>
        <v>0</v>
      </c>
      <c r="S169">
        <f>IF('14 Detailed Results'!Q19="","",'14 Detailed Results'!Q19)</f>
        <v>0</v>
      </c>
      <c r="T169" t="str">
        <f>IF('14 Detailed Results'!R19="","",'14 Detailed Results'!R19)</f>
        <v>Service user</v>
      </c>
      <c r="U169" t="str">
        <f>IF('14 Detailed Results'!S19="","",'14 Detailed Results'!S19)</f>
        <v/>
      </c>
    </row>
    <row r="170" spans="1:21">
      <c r="A170" s="3">
        <f>'02 Hospice Setup'!$B$5</f>
        <v>0</v>
      </c>
      <c r="B170" s="3" t="str">
        <f>'02 Hospice Setup'!$H$5</f>
        <v>Version 5.1</v>
      </c>
      <c r="C170" s="3" t="str">
        <f>'02 Hospice Setup'!$E$6</f>
        <v>Actual</v>
      </c>
      <c r="D170" s="18">
        <f>'02 Hospice Setup'!$H$7</f>
        <v>0</v>
      </c>
      <c r="E170" s="3" t="s">
        <v>146</v>
      </c>
      <c r="F170" s="3" t="s">
        <v>145</v>
      </c>
      <c r="G170" s="3" t="s">
        <v>148</v>
      </c>
      <c r="H170" s="3" t="s">
        <v>559</v>
      </c>
      <c r="I170" s="19">
        <f>SUMIF('14 Detailed Results'!$A$5:$A$35,F170,'14 Detailed Results'!$C$5:$C$35)</f>
        <v>0</v>
      </c>
      <c r="J170" s="3" t="s">
        <v>61</v>
      </c>
      <c r="K170" s="3"/>
      <c r="L170" s="3"/>
      <c r="M170" s="3"/>
      <c r="N170" s="3" t="str">
        <f t="shared" ref="N170:N178" si="15">IF(I170=0,"Not provided","Complete")</f>
        <v>Not provided</v>
      </c>
      <c r="O170" s="3"/>
      <c r="P170" s="3" t="s">
        <v>43</v>
      </c>
      <c r="Q170">
        <f>IF('14 Detailed Results'!O20="","",'14 Detailed Results'!O20)</f>
        <v>0</v>
      </c>
      <c r="R170">
        <f>IF('14 Detailed Results'!P20="","",'14 Detailed Results'!P20)</f>
        <v>0</v>
      </c>
      <c r="S170">
        <f>IF('14 Detailed Results'!Q20="","",'14 Detailed Results'!Q20)</f>
        <v>0</v>
      </c>
      <c r="T170" t="str">
        <f>IF('14 Detailed Results'!R20="","",'14 Detailed Results'!R20)</f>
        <v>Service user</v>
      </c>
      <c r="U170" t="str">
        <f>IF('14 Detailed Results'!S20="","",'14 Detailed Results'!S20)</f>
        <v/>
      </c>
    </row>
    <row r="171" spans="1:21">
      <c r="A171" s="3">
        <f>'02 Hospice Setup'!$B$5</f>
        <v>0</v>
      </c>
      <c r="B171" s="3" t="str">
        <f>'02 Hospice Setup'!$H$5</f>
        <v>Version 5.1</v>
      </c>
      <c r="C171" s="3" t="str">
        <f>'02 Hospice Setup'!$E$6</f>
        <v>Actual</v>
      </c>
      <c r="D171" s="18">
        <f>'02 Hospice Setup'!$H$7</f>
        <v>0</v>
      </c>
      <c r="E171" s="3" t="s">
        <v>146</v>
      </c>
      <c r="F171" s="3" t="s">
        <v>145</v>
      </c>
      <c r="G171" s="3" t="s">
        <v>148</v>
      </c>
      <c r="H171" s="3" t="s">
        <v>560</v>
      </c>
      <c r="I171" s="19">
        <f>SUMIF('14 Detailed Results'!$A$5:$A$35,F171,'14 Detailed Results'!$D$5:$D$35)</f>
        <v>0</v>
      </c>
      <c r="J171" s="3" t="s">
        <v>61</v>
      </c>
      <c r="K171" s="3"/>
      <c r="L171" s="3"/>
      <c r="M171" s="3"/>
      <c r="N171" s="3" t="str">
        <f t="shared" si="15"/>
        <v>Not provided</v>
      </c>
      <c r="O171" s="3"/>
      <c r="P171" s="3" t="s">
        <v>43</v>
      </c>
      <c r="Q171">
        <f>IF('14 Detailed Results'!O20="","",'14 Detailed Results'!O20)</f>
        <v>0</v>
      </c>
      <c r="R171">
        <f>IF('14 Detailed Results'!P20="","",'14 Detailed Results'!P20)</f>
        <v>0</v>
      </c>
      <c r="S171">
        <f>IF('14 Detailed Results'!Q20="","",'14 Detailed Results'!Q20)</f>
        <v>0</v>
      </c>
      <c r="T171" t="str">
        <f>IF('14 Detailed Results'!R20="","",'14 Detailed Results'!R20)</f>
        <v>Service user</v>
      </c>
      <c r="U171" t="str">
        <f>IF('14 Detailed Results'!S20="","",'14 Detailed Results'!S20)</f>
        <v/>
      </c>
    </row>
    <row r="172" spans="1:21">
      <c r="A172" s="3">
        <f>'02 Hospice Setup'!$B$5</f>
        <v>0</v>
      </c>
      <c r="B172" s="3" t="str">
        <f>'02 Hospice Setup'!$H$5</f>
        <v>Version 5.1</v>
      </c>
      <c r="C172" s="3" t="str">
        <f>'02 Hospice Setup'!$E$6</f>
        <v>Actual</v>
      </c>
      <c r="D172" s="18">
        <f>'02 Hospice Setup'!$H$7</f>
        <v>0</v>
      </c>
      <c r="E172" s="3" t="s">
        <v>146</v>
      </c>
      <c r="F172" s="3" t="s">
        <v>145</v>
      </c>
      <c r="G172" s="3" t="s">
        <v>148</v>
      </c>
      <c r="H172" s="3" t="s">
        <v>570</v>
      </c>
      <c r="I172" s="19">
        <f>SUMIF('14 Detailed Results'!$A$5:$A$35,F172,'14 Detailed Results'!$E$5:$E$35)</f>
        <v>0</v>
      </c>
      <c r="J172" s="3" t="s">
        <v>61</v>
      </c>
      <c r="K172" s="3"/>
      <c r="L172" s="3"/>
      <c r="M172" s="3"/>
      <c r="N172" s="3" t="str">
        <f t="shared" si="15"/>
        <v>Not provided</v>
      </c>
      <c r="O172" s="3"/>
      <c r="P172" s="3" t="s">
        <v>43</v>
      </c>
      <c r="Q172">
        <f>IF('14 Detailed Results'!O20="","",'14 Detailed Results'!O20)</f>
        <v>0</v>
      </c>
      <c r="R172">
        <f>IF('14 Detailed Results'!P20="","",'14 Detailed Results'!P20)</f>
        <v>0</v>
      </c>
      <c r="S172">
        <f>IF('14 Detailed Results'!Q20="","",'14 Detailed Results'!Q20)</f>
        <v>0</v>
      </c>
      <c r="T172" t="str">
        <f>IF('14 Detailed Results'!R20="","",'14 Detailed Results'!R20)</f>
        <v>Service user</v>
      </c>
      <c r="U172" t="str">
        <f>IF('14 Detailed Results'!S20="","",'14 Detailed Results'!S20)</f>
        <v/>
      </c>
    </row>
    <row r="173" spans="1:21">
      <c r="A173" s="3">
        <f>'02 Hospice Setup'!$B$5</f>
        <v>0</v>
      </c>
      <c r="B173" s="3" t="str">
        <f>'02 Hospice Setup'!$H$5</f>
        <v>Version 5.1</v>
      </c>
      <c r="C173" s="3" t="str">
        <f>'02 Hospice Setup'!$E$6</f>
        <v>Actual</v>
      </c>
      <c r="D173" s="18">
        <f>'02 Hospice Setup'!$H$7</f>
        <v>0</v>
      </c>
      <c r="E173" s="3" t="s">
        <v>146</v>
      </c>
      <c r="F173" s="3" t="s">
        <v>145</v>
      </c>
      <c r="G173" s="3" t="s">
        <v>148</v>
      </c>
      <c r="H173" s="3" t="s">
        <v>561</v>
      </c>
      <c r="I173" s="19">
        <f>SUMIF('14 Detailed Results'!$A$5:$A$35,F173,'14 Detailed Results'!$F$5:$F$35)</f>
        <v>0</v>
      </c>
      <c r="J173" s="3" t="s">
        <v>61</v>
      </c>
      <c r="K173" s="3"/>
      <c r="L173" s="3"/>
      <c r="M173" s="3"/>
      <c r="N173" s="3" t="str">
        <f t="shared" si="15"/>
        <v>Not provided</v>
      </c>
      <c r="O173" s="3"/>
      <c r="P173" s="3" t="s">
        <v>43</v>
      </c>
      <c r="Q173">
        <f>IF('14 Detailed Results'!O20="","",'14 Detailed Results'!O20)</f>
        <v>0</v>
      </c>
      <c r="R173">
        <f>IF('14 Detailed Results'!P20="","",'14 Detailed Results'!P20)</f>
        <v>0</v>
      </c>
      <c r="S173">
        <f>IF('14 Detailed Results'!Q20="","",'14 Detailed Results'!Q20)</f>
        <v>0</v>
      </c>
      <c r="T173" t="str">
        <f>IF('14 Detailed Results'!R20="","",'14 Detailed Results'!R20)</f>
        <v>Service user</v>
      </c>
      <c r="U173" t="str">
        <f>IF('14 Detailed Results'!S20="","",'14 Detailed Results'!S20)</f>
        <v/>
      </c>
    </row>
    <row r="174" spans="1:21">
      <c r="A174" s="3">
        <f>'02 Hospice Setup'!$B$5</f>
        <v>0</v>
      </c>
      <c r="B174" s="3" t="str">
        <f>'02 Hospice Setup'!$H$5</f>
        <v>Version 5.1</v>
      </c>
      <c r="C174" s="3" t="str">
        <f>'02 Hospice Setup'!$E$6</f>
        <v>Actual</v>
      </c>
      <c r="D174" s="18">
        <f>'02 Hospice Setup'!$H$7</f>
        <v>0</v>
      </c>
      <c r="E174" s="3" t="s">
        <v>146</v>
      </c>
      <c r="F174" s="3" t="s">
        <v>145</v>
      </c>
      <c r="G174" s="3" t="s">
        <v>148</v>
      </c>
      <c r="H174" s="3" t="s">
        <v>382</v>
      </c>
      <c r="I174" s="19">
        <f>SUMIF('14 Detailed Results'!$A$5:$A$35,F174,'14 Detailed Results'!$G$5:$G$35)</f>
        <v>0</v>
      </c>
      <c r="J174" s="3" t="s">
        <v>410</v>
      </c>
      <c r="K174" s="3"/>
      <c r="L174" s="3"/>
      <c r="M174" s="3"/>
      <c r="N174" s="3" t="str">
        <f t="shared" si="15"/>
        <v>Not provided</v>
      </c>
      <c r="O174" s="3"/>
      <c r="P174" s="3" t="s">
        <v>43</v>
      </c>
      <c r="Q174">
        <f>IF('14 Detailed Results'!O20="","",'14 Detailed Results'!O20)</f>
        <v>0</v>
      </c>
      <c r="R174">
        <f>IF('14 Detailed Results'!P20="","",'14 Detailed Results'!P20)</f>
        <v>0</v>
      </c>
      <c r="S174">
        <f>IF('14 Detailed Results'!Q20="","",'14 Detailed Results'!Q20)</f>
        <v>0</v>
      </c>
      <c r="T174" t="str">
        <f>IF('14 Detailed Results'!R20="","",'14 Detailed Results'!R20)</f>
        <v>Service user</v>
      </c>
      <c r="U174" t="str">
        <f>IF('14 Detailed Results'!S20="","",'14 Detailed Results'!S20)</f>
        <v/>
      </c>
    </row>
    <row r="175" spans="1:21">
      <c r="A175" s="3">
        <f>'02 Hospice Setup'!$B$5</f>
        <v>0</v>
      </c>
      <c r="B175" s="3" t="str">
        <f>'02 Hospice Setup'!$H$5</f>
        <v>Version 5.1</v>
      </c>
      <c r="C175" s="3" t="str">
        <f>'02 Hospice Setup'!$E$6</f>
        <v>Actual</v>
      </c>
      <c r="D175" s="18">
        <f>'02 Hospice Setup'!$H$7</f>
        <v>0</v>
      </c>
      <c r="E175" s="3" t="s">
        <v>146</v>
      </c>
      <c r="F175" s="3" t="s">
        <v>145</v>
      </c>
      <c r="G175" s="3" t="s">
        <v>148</v>
      </c>
      <c r="H175" s="3" t="s">
        <v>386</v>
      </c>
      <c r="I175" s="19">
        <f>SUMIF('14 Detailed Results'!$A$5:$A$35,F175,'14 Detailed Results'!$H$5:$H$35)</f>
        <v>0</v>
      </c>
      <c r="J175" s="3" t="s">
        <v>410</v>
      </c>
      <c r="K175" s="3"/>
      <c r="L175" s="3"/>
      <c r="M175" s="3"/>
      <c r="N175" s="3" t="str">
        <f t="shared" si="15"/>
        <v>Not provided</v>
      </c>
      <c r="O175" s="3"/>
      <c r="P175" s="3" t="s">
        <v>43</v>
      </c>
      <c r="Q175">
        <f>IF('14 Detailed Results'!O20="","",'14 Detailed Results'!O20)</f>
        <v>0</v>
      </c>
      <c r="R175">
        <f>IF('14 Detailed Results'!P20="","",'14 Detailed Results'!P20)</f>
        <v>0</v>
      </c>
      <c r="S175">
        <f>IF('14 Detailed Results'!Q20="","",'14 Detailed Results'!Q20)</f>
        <v>0</v>
      </c>
      <c r="T175" t="str">
        <f>IF('14 Detailed Results'!R20="","",'14 Detailed Results'!R20)</f>
        <v>Service user</v>
      </c>
      <c r="U175" t="str">
        <f>IF('14 Detailed Results'!S20="","",'14 Detailed Results'!S20)</f>
        <v/>
      </c>
    </row>
    <row r="176" spans="1:21">
      <c r="A176" s="3">
        <f>'02 Hospice Setup'!$B$5</f>
        <v>0</v>
      </c>
      <c r="B176" s="3" t="str">
        <f>'02 Hospice Setup'!$H$5</f>
        <v>Version 5.1</v>
      </c>
      <c r="C176" s="3" t="str">
        <f>'02 Hospice Setup'!$E$6</f>
        <v>Actual</v>
      </c>
      <c r="D176" s="18">
        <f>'02 Hospice Setup'!$H$7</f>
        <v>0</v>
      </c>
      <c r="E176" s="3" t="s">
        <v>146</v>
      </c>
      <c r="F176" s="3" t="s">
        <v>145</v>
      </c>
      <c r="G176" s="3" t="s">
        <v>148</v>
      </c>
      <c r="H176" s="3" t="s">
        <v>704</v>
      </c>
      <c r="I176" s="19">
        <f>SUMIF('14 Detailed Results'!$A$5:$A$35,F176,'14 Detailed Results'!$I$5:$I$35)</f>
        <v>0</v>
      </c>
      <c r="J176" s="3" t="s">
        <v>61</v>
      </c>
      <c r="K176" s="3"/>
      <c r="L176" s="3"/>
      <c r="M176" s="3"/>
      <c r="N176" s="3" t="str">
        <f t="shared" si="15"/>
        <v>Not provided</v>
      </c>
      <c r="O176" s="3"/>
      <c r="P176" s="3" t="s">
        <v>43</v>
      </c>
      <c r="Q176">
        <f>IF('14 Detailed Results'!O20="","",'14 Detailed Results'!O20)</f>
        <v>0</v>
      </c>
      <c r="R176">
        <f>IF('14 Detailed Results'!P20="","",'14 Detailed Results'!P20)</f>
        <v>0</v>
      </c>
      <c r="S176">
        <f>IF('14 Detailed Results'!Q20="","",'14 Detailed Results'!Q20)</f>
        <v>0</v>
      </c>
      <c r="T176" t="str">
        <f>IF('14 Detailed Results'!R20="","",'14 Detailed Results'!R20)</f>
        <v>Service user</v>
      </c>
      <c r="U176" t="str">
        <f>IF('14 Detailed Results'!S20="","",'14 Detailed Results'!S20)</f>
        <v/>
      </c>
    </row>
    <row r="177" spans="1:21">
      <c r="A177" s="3">
        <f>'02 Hospice Setup'!$B$5</f>
        <v>0</v>
      </c>
      <c r="B177" s="3" t="str">
        <f>'02 Hospice Setup'!$H$5</f>
        <v>Version 5.1</v>
      </c>
      <c r="C177" s="3" t="str">
        <f>'02 Hospice Setup'!$E$6</f>
        <v>Actual</v>
      </c>
      <c r="D177" s="18">
        <f>'02 Hospice Setup'!$H$7</f>
        <v>0</v>
      </c>
      <c r="E177" s="3" t="s">
        <v>146</v>
      </c>
      <c r="F177" s="3" t="s">
        <v>145</v>
      </c>
      <c r="G177" s="3" t="s">
        <v>148</v>
      </c>
      <c r="H177" s="3" t="s">
        <v>705</v>
      </c>
      <c r="I177" s="19">
        <f>SUMIF('14 Detailed Results'!$A$5:$A$35,F177,'14 Detailed Results'!$J$5:$J$35)</f>
        <v>0</v>
      </c>
      <c r="J177" s="3" t="s">
        <v>61</v>
      </c>
      <c r="K177" s="3"/>
      <c r="L177" s="3"/>
      <c r="M177" s="3"/>
      <c r="N177" s="3" t="str">
        <f t="shared" si="15"/>
        <v>Not provided</v>
      </c>
      <c r="O177" s="3"/>
      <c r="P177" s="3" t="s">
        <v>43</v>
      </c>
      <c r="Q177">
        <f>IF('14 Detailed Results'!O20="","",'14 Detailed Results'!O20)</f>
        <v>0</v>
      </c>
      <c r="R177">
        <f>IF('14 Detailed Results'!P20="","",'14 Detailed Results'!P20)</f>
        <v>0</v>
      </c>
      <c r="S177">
        <f>IF('14 Detailed Results'!Q20="","",'14 Detailed Results'!Q20)</f>
        <v>0</v>
      </c>
      <c r="T177" t="str">
        <f>IF('14 Detailed Results'!R20="","",'14 Detailed Results'!R20)</f>
        <v>Service user</v>
      </c>
      <c r="U177" t="str">
        <f>IF('14 Detailed Results'!S20="","",'14 Detailed Results'!S20)</f>
        <v/>
      </c>
    </row>
    <row r="178" spans="1:21">
      <c r="A178" s="3">
        <f>'02 Hospice Setup'!$B$5</f>
        <v>0</v>
      </c>
      <c r="B178" s="3" t="str">
        <f>'02 Hospice Setup'!$H$5</f>
        <v>Version 5.1</v>
      </c>
      <c r="C178" s="3" t="str">
        <f>'02 Hospice Setup'!$E$6</f>
        <v>Actual</v>
      </c>
      <c r="D178" s="18">
        <f>'02 Hospice Setup'!$H$7</f>
        <v>0</v>
      </c>
      <c r="E178" s="3" t="s">
        <v>146</v>
      </c>
      <c r="F178" s="3" t="s">
        <v>145</v>
      </c>
      <c r="G178" s="3" t="s">
        <v>148</v>
      </c>
      <c r="H178" s="3" t="s">
        <v>564</v>
      </c>
      <c r="I178" s="19">
        <f>SUMIF('14 Detailed Results'!$A$5:$A$35,F178,'14 Detailed Results'!$K$5:$K$35)</f>
        <v>0</v>
      </c>
      <c r="J178" s="3" t="s">
        <v>706</v>
      </c>
      <c r="K178" s="3"/>
      <c r="L178" s="3"/>
      <c r="M178" s="3"/>
      <c r="N178" s="3" t="str">
        <f t="shared" si="15"/>
        <v>Not provided</v>
      </c>
      <c r="O178" s="3"/>
      <c r="P178" s="3" t="s">
        <v>43</v>
      </c>
      <c r="Q178">
        <f>IF('14 Detailed Results'!O20="","",'14 Detailed Results'!O20)</f>
        <v>0</v>
      </c>
      <c r="R178">
        <f>IF('14 Detailed Results'!P20="","",'14 Detailed Results'!P20)</f>
        <v>0</v>
      </c>
      <c r="S178">
        <f>IF('14 Detailed Results'!Q20="","",'14 Detailed Results'!Q20)</f>
        <v>0</v>
      </c>
      <c r="T178" t="str">
        <f>IF('14 Detailed Results'!R20="","",'14 Detailed Results'!R20)</f>
        <v>Service user</v>
      </c>
      <c r="U178" t="str">
        <f>IF('14 Detailed Results'!S20="","",'14 Detailed Results'!S20)</f>
        <v/>
      </c>
    </row>
    <row r="179" spans="1:21">
      <c r="A179" s="3">
        <f>'02 Hospice Setup'!$B$5</f>
        <v>0</v>
      </c>
      <c r="B179" s="3" t="str">
        <f>'02 Hospice Setup'!$H$5</f>
        <v>Version 5.1</v>
      </c>
      <c r="C179" s="3" t="str">
        <f>'02 Hospice Setup'!$E$6</f>
        <v>Actual</v>
      </c>
      <c r="D179" s="18">
        <f>'02 Hospice Setup'!$H$7</f>
        <v>0</v>
      </c>
      <c r="E179" s="3" t="s">
        <v>146</v>
      </c>
      <c r="F179" s="3" t="s">
        <v>145</v>
      </c>
      <c r="G179" s="3" t="s">
        <v>148</v>
      </c>
      <c r="H179" s="3" t="s">
        <v>708</v>
      </c>
      <c r="I179" s="19">
        <f>SUMIF('14 Detailed Results'!$A$5:$A$35,F179,'14 Detailed Results'!$L$5:$L$35)</f>
        <v>0</v>
      </c>
      <c r="J179" s="3" t="s">
        <v>427</v>
      </c>
      <c r="K179" s="3"/>
      <c r="L179" s="3"/>
      <c r="M179" s="3"/>
      <c r="N179" s="3" t="str">
        <f>IF(SUMIF('14 Detailed Results'!$A$5:$A$35,F179,'14 Detailed Results'!$F$5:$F$35)=0,"Not provided",IF(I179=0,"Not available","Complete"))</f>
        <v>Not provided</v>
      </c>
      <c r="O179" s="3" t="s">
        <v>709</v>
      </c>
      <c r="P179" s="3" t="s">
        <v>43</v>
      </c>
      <c r="Q179">
        <f>IF('14 Detailed Results'!O20="","",'14 Detailed Results'!O20)</f>
        <v>0</v>
      </c>
      <c r="R179">
        <f>IF('14 Detailed Results'!P20="","",'14 Detailed Results'!P20)</f>
        <v>0</v>
      </c>
      <c r="S179">
        <f>IF('14 Detailed Results'!Q20="","",'14 Detailed Results'!Q20)</f>
        <v>0</v>
      </c>
      <c r="T179" t="str">
        <f>IF('14 Detailed Results'!R20="","",'14 Detailed Results'!R20)</f>
        <v>Service user</v>
      </c>
      <c r="U179" t="str">
        <f>IF('14 Detailed Results'!S20="","",'14 Detailed Results'!S20)</f>
        <v/>
      </c>
    </row>
    <row r="180" spans="1:21">
      <c r="A180" s="3">
        <f>'02 Hospice Setup'!$B$5</f>
        <v>0</v>
      </c>
      <c r="B180" s="3" t="str">
        <f>'02 Hospice Setup'!$H$5</f>
        <v>Version 5.1</v>
      </c>
      <c r="C180" s="3" t="str">
        <f>'02 Hospice Setup'!$E$6</f>
        <v>Actual</v>
      </c>
      <c r="D180" s="18">
        <f>'02 Hospice Setup'!$H$7</f>
        <v>0</v>
      </c>
      <c r="E180" s="3" t="s">
        <v>146</v>
      </c>
      <c r="F180" s="3" t="s">
        <v>145</v>
      </c>
      <c r="G180" s="3" t="s">
        <v>148</v>
      </c>
      <c r="H180" s="3" t="s">
        <v>710</v>
      </c>
      <c r="I180" s="19">
        <f>SUMIF('14 Detailed Results'!$A$5:$A$35,F180,'14 Detailed Results'!$M$5:$M$35)</f>
        <v>0</v>
      </c>
      <c r="J180" s="3" t="s">
        <v>61</v>
      </c>
      <c r="K180" s="3"/>
      <c r="L180" s="3"/>
      <c r="M180" s="3"/>
      <c r="N180" s="3" t="str">
        <f>IF(SUMIF('14 Detailed Results'!$A$5:$A$35,F180,'14 Detailed Results'!$F$5:$F$35)=0,"Not provided",IF(I180=0,"Not available","Complete"))</f>
        <v>Not provided</v>
      </c>
      <c r="O180" s="3"/>
      <c r="P180" s="3" t="s">
        <v>43</v>
      </c>
      <c r="Q180">
        <f>IF('14 Detailed Results'!O20="","",'14 Detailed Results'!O20)</f>
        <v>0</v>
      </c>
      <c r="R180">
        <f>IF('14 Detailed Results'!P20="","",'14 Detailed Results'!P20)</f>
        <v>0</v>
      </c>
      <c r="S180">
        <f>IF('14 Detailed Results'!Q20="","",'14 Detailed Results'!Q20)</f>
        <v>0</v>
      </c>
      <c r="T180" t="str">
        <f>IF('14 Detailed Results'!R20="","",'14 Detailed Results'!R20)</f>
        <v>Service user</v>
      </c>
      <c r="U180" t="str">
        <f>IF('14 Detailed Results'!S20="","",'14 Detailed Results'!S20)</f>
        <v/>
      </c>
    </row>
    <row r="181" spans="1:21">
      <c r="A181" s="3">
        <f>'02 Hospice Setup'!$B$5</f>
        <v>0</v>
      </c>
      <c r="B181" s="3" t="str">
        <f>'02 Hospice Setup'!$H$5</f>
        <v>Version 5.1</v>
      </c>
      <c r="C181" s="3" t="str">
        <f>'02 Hospice Setup'!$E$6</f>
        <v>Actual</v>
      </c>
      <c r="D181" s="18">
        <f>'02 Hospice Setup'!$H$7</f>
        <v>0</v>
      </c>
      <c r="E181" s="3" t="s">
        <v>146</v>
      </c>
      <c r="F181" s="3" t="s">
        <v>149</v>
      </c>
      <c r="G181" s="3" t="s">
        <v>150</v>
      </c>
      <c r="H181" s="3" t="s">
        <v>559</v>
      </c>
      <c r="I181" s="19">
        <f>SUMIF('14 Detailed Results'!$A$5:$A$35,F181,'14 Detailed Results'!$C$5:$C$35)</f>
        <v>0</v>
      </c>
      <c r="J181" s="3" t="s">
        <v>61</v>
      </c>
      <c r="K181" s="3"/>
      <c r="L181" s="3"/>
      <c r="M181" s="3"/>
      <c r="N181" s="3" t="str">
        <f t="shared" ref="N181:N189" si="16">IF(I181=0,"Not provided","Complete")</f>
        <v>Not provided</v>
      </c>
      <c r="O181" s="3"/>
      <c r="P181" s="3" t="s">
        <v>43</v>
      </c>
      <c r="Q181">
        <f>IF('14 Detailed Results'!O21="","",'14 Detailed Results'!O21)</f>
        <v>0</v>
      </c>
      <c r="R181">
        <f>IF('14 Detailed Results'!P21="","",'14 Detailed Results'!P21)</f>
        <v>0</v>
      </c>
      <c r="S181">
        <f>IF('14 Detailed Results'!Q21="","",'14 Detailed Results'!Q21)</f>
        <v>0</v>
      </c>
      <c r="T181" t="str">
        <f>IF('14 Detailed Results'!R21="","",'14 Detailed Results'!R21)</f>
        <v>Service user</v>
      </c>
      <c r="U181" t="str">
        <f>IF('14 Detailed Results'!S21="","",'14 Detailed Results'!S21)</f>
        <v/>
      </c>
    </row>
    <row r="182" spans="1:21">
      <c r="A182" s="3">
        <f>'02 Hospice Setup'!$B$5</f>
        <v>0</v>
      </c>
      <c r="B182" s="3" t="str">
        <f>'02 Hospice Setup'!$H$5</f>
        <v>Version 5.1</v>
      </c>
      <c r="C182" s="3" t="str">
        <f>'02 Hospice Setup'!$E$6</f>
        <v>Actual</v>
      </c>
      <c r="D182" s="18">
        <f>'02 Hospice Setup'!$H$7</f>
        <v>0</v>
      </c>
      <c r="E182" s="3" t="s">
        <v>146</v>
      </c>
      <c r="F182" s="3" t="s">
        <v>149</v>
      </c>
      <c r="G182" s="3" t="s">
        <v>150</v>
      </c>
      <c r="H182" s="3" t="s">
        <v>560</v>
      </c>
      <c r="I182" s="19">
        <f>SUMIF('14 Detailed Results'!$A$5:$A$35,F182,'14 Detailed Results'!$D$5:$D$35)</f>
        <v>0</v>
      </c>
      <c r="J182" s="3" t="s">
        <v>61</v>
      </c>
      <c r="K182" s="3"/>
      <c r="L182" s="3"/>
      <c r="M182" s="3"/>
      <c r="N182" s="3" t="str">
        <f t="shared" si="16"/>
        <v>Not provided</v>
      </c>
      <c r="O182" s="3"/>
      <c r="P182" s="3" t="s">
        <v>43</v>
      </c>
      <c r="Q182">
        <f>IF('14 Detailed Results'!O21="","",'14 Detailed Results'!O21)</f>
        <v>0</v>
      </c>
      <c r="R182">
        <f>IF('14 Detailed Results'!P21="","",'14 Detailed Results'!P21)</f>
        <v>0</v>
      </c>
      <c r="S182">
        <f>IF('14 Detailed Results'!Q21="","",'14 Detailed Results'!Q21)</f>
        <v>0</v>
      </c>
      <c r="T182" t="str">
        <f>IF('14 Detailed Results'!R21="","",'14 Detailed Results'!R21)</f>
        <v>Service user</v>
      </c>
      <c r="U182" t="str">
        <f>IF('14 Detailed Results'!S21="","",'14 Detailed Results'!S21)</f>
        <v/>
      </c>
    </row>
    <row r="183" spans="1:21">
      <c r="A183" s="3">
        <f>'02 Hospice Setup'!$B$5</f>
        <v>0</v>
      </c>
      <c r="B183" s="3" t="str">
        <f>'02 Hospice Setup'!$H$5</f>
        <v>Version 5.1</v>
      </c>
      <c r="C183" s="3" t="str">
        <f>'02 Hospice Setup'!$E$6</f>
        <v>Actual</v>
      </c>
      <c r="D183" s="18">
        <f>'02 Hospice Setup'!$H$7</f>
        <v>0</v>
      </c>
      <c r="E183" s="3" t="s">
        <v>146</v>
      </c>
      <c r="F183" s="3" t="s">
        <v>149</v>
      </c>
      <c r="G183" s="3" t="s">
        <v>150</v>
      </c>
      <c r="H183" s="3" t="s">
        <v>570</v>
      </c>
      <c r="I183" s="19">
        <f>SUMIF('14 Detailed Results'!$A$5:$A$35,F183,'14 Detailed Results'!$E$5:$E$35)</f>
        <v>0</v>
      </c>
      <c r="J183" s="3" t="s">
        <v>61</v>
      </c>
      <c r="K183" s="3"/>
      <c r="L183" s="3"/>
      <c r="M183" s="3"/>
      <c r="N183" s="3" t="str">
        <f t="shared" si="16"/>
        <v>Not provided</v>
      </c>
      <c r="O183" s="3"/>
      <c r="P183" s="3" t="s">
        <v>43</v>
      </c>
      <c r="Q183">
        <f>IF('14 Detailed Results'!O21="","",'14 Detailed Results'!O21)</f>
        <v>0</v>
      </c>
      <c r="R183">
        <f>IF('14 Detailed Results'!P21="","",'14 Detailed Results'!P21)</f>
        <v>0</v>
      </c>
      <c r="S183">
        <f>IF('14 Detailed Results'!Q21="","",'14 Detailed Results'!Q21)</f>
        <v>0</v>
      </c>
      <c r="T183" t="str">
        <f>IF('14 Detailed Results'!R21="","",'14 Detailed Results'!R21)</f>
        <v>Service user</v>
      </c>
      <c r="U183" t="str">
        <f>IF('14 Detailed Results'!S21="","",'14 Detailed Results'!S21)</f>
        <v/>
      </c>
    </row>
    <row r="184" spans="1:21">
      <c r="A184" s="3">
        <f>'02 Hospice Setup'!$B$5</f>
        <v>0</v>
      </c>
      <c r="B184" s="3" t="str">
        <f>'02 Hospice Setup'!$H$5</f>
        <v>Version 5.1</v>
      </c>
      <c r="C184" s="3" t="str">
        <f>'02 Hospice Setup'!$E$6</f>
        <v>Actual</v>
      </c>
      <c r="D184" s="18">
        <f>'02 Hospice Setup'!$H$7</f>
        <v>0</v>
      </c>
      <c r="E184" s="3" t="s">
        <v>146</v>
      </c>
      <c r="F184" s="3" t="s">
        <v>149</v>
      </c>
      <c r="G184" s="3" t="s">
        <v>150</v>
      </c>
      <c r="H184" s="3" t="s">
        <v>561</v>
      </c>
      <c r="I184" s="19">
        <f>SUMIF('14 Detailed Results'!$A$5:$A$35,F184,'14 Detailed Results'!$F$5:$F$35)</f>
        <v>0</v>
      </c>
      <c r="J184" s="3" t="s">
        <v>61</v>
      </c>
      <c r="K184" s="3"/>
      <c r="L184" s="3"/>
      <c r="M184" s="3"/>
      <c r="N184" s="3" t="str">
        <f t="shared" si="16"/>
        <v>Not provided</v>
      </c>
      <c r="O184" s="3"/>
      <c r="P184" s="3" t="s">
        <v>43</v>
      </c>
      <c r="Q184">
        <f>IF('14 Detailed Results'!O21="","",'14 Detailed Results'!O21)</f>
        <v>0</v>
      </c>
      <c r="R184">
        <f>IF('14 Detailed Results'!P21="","",'14 Detailed Results'!P21)</f>
        <v>0</v>
      </c>
      <c r="S184">
        <f>IF('14 Detailed Results'!Q21="","",'14 Detailed Results'!Q21)</f>
        <v>0</v>
      </c>
      <c r="T184" t="str">
        <f>IF('14 Detailed Results'!R21="","",'14 Detailed Results'!R21)</f>
        <v>Service user</v>
      </c>
      <c r="U184" t="str">
        <f>IF('14 Detailed Results'!S21="","",'14 Detailed Results'!S21)</f>
        <v/>
      </c>
    </row>
    <row r="185" spans="1:21">
      <c r="A185" s="3">
        <f>'02 Hospice Setup'!$B$5</f>
        <v>0</v>
      </c>
      <c r="B185" s="3" t="str">
        <f>'02 Hospice Setup'!$H$5</f>
        <v>Version 5.1</v>
      </c>
      <c r="C185" s="3" t="str">
        <f>'02 Hospice Setup'!$E$6</f>
        <v>Actual</v>
      </c>
      <c r="D185" s="18">
        <f>'02 Hospice Setup'!$H$7</f>
        <v>0</v>
      </c>
      <c r="E185" s="3" t="s">
        <v>146</v>
      </c>
      <c r="F185" s="3" t="s">
        <v>149</v>
      </c>
      <c r="G185" s="3" t="s">
        <v>150</v>
      </c>
      <c r="H185" s="3" t="s">
        <v>382</v>
      </c>
      <c r="I185" s="19">
        <f>SUMIF('14 Detailed Results'!$A$5:$A$35,F185,'14 Detailed Results'!$G$5:$G$35)</f>
        <v>0</v>
      </c>
      <c r="J185" s="3" t="s">
        <v>396</v>
      </c>
      <c r="K185" s="3"/>
      <c r="L185" s="3"/>
      <c r="M185" s="3"/>
      <c r="N185" s="3" t="str">
        <f t="shared" si="16"/>
        <v>Not provided</v>
      </c>
      <c r="O185" s="3"/>
      <c r="P185" s="3" t="s">
        <v>43</v>
      </c>
      <c r="Q185">
        <f>IF('14 Detailed Results'!O21="","",'14 Detailed Results'!O21)</f>
        <v>0</v>
      </c>
      <c r="R185">
        <f>IF('14 Detailed Results'!P21="","",'14 Detailed Results'!P21)</f>
        <v>0</v>
      </c>
      <c r="S185">
        <f>IF('14 Detailed Results'!Q21="","",'14 Detailed Results'!Q21)</f>
        <v>0</v>
      </c>
      <c r="T185" t="str">
        <f>IF('14 Detailed Results'!R21="","",'14 Detailed Results'!R21)</f>
        <v>Service user</v>
      </c>
      <c r="U185" t="str">
        <f>IF('14 Detailed Results'!S21="","",'14 Detailed Results'!S21)</f>
        <v/>
      </c>
    </row>
    <row r="186" spans="1:21">
      <c r="A186" s="3">
        <f>'02 Hospice Setup'!$B$5</f>
        <v>0</v>
      </c>
      <c r="B186" s="3" t="str">
        <f>'02 Hospice Setup'!$H$5</f>
        <v>Version 5.1</v>
      </c>
      <c r="C186" s="3" t="str">
        <f>'02 Hospice Setup'!$E$6</f>
        <v>Actual</v>
      </c>
      <c r="D186" s="18">
        <f>'02 Hospice Setup'!$H$7</f>
        <v>0</v>
      </c>
      <c r="E186" s="3" t="s">
        <v>146</v>
      </c>
      <c r="F186" s="3" t="s">
        <v>149</v>
      </c>
      <c r="G186" s="3" t="s">
        <v>150</v>
      </c>
      <c r="H186" s="3" t="s">
        <v>386</v>
      </c>
      <c r="I186" s="19">
        <f>SUMIF('14 Detailed Results'!$A$5:$A$35,F186,'14 Detailed Results'!$H$5:$H$35)</f>
        <v>0</v>
      </c>
      <c r="J186" s="3" t="s">
        <v>396</v>
      </c>
      <c r="K186" s="3"/>
      <c r="L186" s="3"/>
      <c r="M186" s="3"/>
      <c r="N186" s="3" t="str">
        <f t="shared" si="16"/>
        <v>Not provided</v>
      </c>
      <c r="O186" s="3"/>
      <c r="P186" s="3" t="s">
        <v>43</v>
      </c>
      <c r="Q186">
        <f>IF('14 Detailed Results'!O21="","",'14 Detailed Results'!O21)</f>
        <v>0</v>
      </c>
      <c r="R186">
        <f>IF('14 Detailed Results'!P21="","",'14 Detailed Results'!P21)</f>
        <v>0</v>
      </c>
      <c r="S186">
        <f>IF('14 Detailed Results'!Q21="","",'14 Detailed Results'!Q21)</f>
        <v>0</v>
      </c>
      <c r="T186" t="str">
        <f>IF('14 Detailed Results'!R21="","",'14 Detailed Results'!R21)</f>
        <v>Service user</v>
      </c>
      <c r="U186" t="str">
        <f>IF('14 Detailed Results'!S21="","",'14 Detailed Results'!S21)</f>
        <v/>
      </c>
    </row>
    <row r="187" spans="1:21">
      <c r="A187" s="3">
        <f>'02 Hospice Setup'!$B$5</f>
        <v>0</v>
      </c>
      <c r="B187" s="3" t="str">
        <f>'02 Hospice Setup'!$H$5</f>
        <v>Version 5.1</v>
      </c>
      <c r="C187" s="3" t="str">
        <f>'02 Hospice Setup'!$E$6</f>
        <v>Actual</v>
      </c>
      <c r="D187" s="18">
        <f>'02 Hospice Setup'!$H$7</f>
        <v>0</v>
      </c>
      <c r="E187" s="3" t="s">
        <v>146</v>
      </c>
      <c r="F187" s="3" t="s">
        <v>149</v>
      </c>
      <c r="G187" s="3" t="s">
        <v>150</v>
      </c>
      <c r="H187" s="3" t="s">
        <v>704</v>
      </c>
      <c r="I187" s="19">
        <f>SUMIF('14 Detailed Results'!$A$5:$A$35,F187,'14 Detailed Results'!$I$5:$I$35)</f>
        <v>0</v>
      </c>
      <c r="J187" s="3" t="s">
        <v>61</v>
      </c>
      <c r="K187" s="3"/>
      <c r="L187" s="3"/>
      <c r="M187" s="3"/>
      <c r="N187" s="3" t="str">
        <f t="shared" si="16"/>
        <v>Not provided</v>
      </c>
      <c r="O187" s="3"/>
      <c r="P187" s="3" t="s">
        <v>43</v>
      </c>
      <c r="Q187">
        <f>IF('14 Detailed Results'!O21="","",'14 Detailed Results'!O21)</f>
        <v>0</v>
      </c>
      <c r="R187">
        <f>IF('14 Detailed Results'!P21="","",'14 Detailed Results'!P21)</f>
        <v>0</v>
      </c>
      <c r="S187">
        <f>IF('14 Detailed Results'!Q21="","",'14 Detailed Results'!Q21)</f>
        <v>0</v>
      </c>
      <c r="T187" t="str">
        <f>IF('14 Detailed Results'!R21="","",'14 Detailed Results'!R21)</f>
        <v>Service user</v>
      </c>
      <c r="U187" t="str">
        <f>IF('14 Detailed Results'!S21="","",'14 Detailed Results'!S21)</f>
        <v/>
      </c>
    </row>
    <row r="188" spans="1:21">
      <c r="A188" s="3">
        <f>'02 Hospice Setup'!$B$5</f>
        <v>0</v>
      </c>
      <c r="B188" s="3" t="str">
        <f>'02 Hospice Setup'!$H$5</f>
        <v>Version 5.1</v>
      </c>
      <c r="C188" s="3" t="str">
        <f>'02 Hospice Setup'!$E$6</f>
        <v>Actual</v>
      </c>
      <c r="D188" s="18">
        <f>'02 Hospice Setup'!$H$7</f>
        <v>0</v>
      </c>
      <c r="E188" s="3" t="s">
        <v>146</v>
      </c>
      <c r="F188" s="3" t="s">
        <v>149</v>
      </c>
      <c r="G188" s="3" t="s">
        <v>150</v>
      </c>
      <c r="H188" s="3" t="s">
        <v>705</v>
      </c>
      <c r="I188" s="19">
        <f>SUMIF('14 Detailed Results'!$A$5:$A$35,F188,'14 Detailed Results'!$J$5:$J$35)</f>
        <v>0</v>
      </c>
      <c r="J188" s="3" t="s">
        <v>61</v>
      </c>
      <c r="K188" s="3"/>
      <c r="L188" s="3"/>
      <c r="M188" s="3"/>
      <c r="N188" s="3" t="str">
        <f t="shared" si="16"/>
        <v>Not provided</v>
      </c>
      <c r="O188" s="3"/>
      <c r="P188" s="3" t="s">
        <v>43</v>
      </c>
      <c r="Q188">
        <f>IF('14 Detailed Results'!O21="","",'14 Detailed Results'!O21)</f>
        <v>0</v>
      </c>
      <c r="R188">
        <f>IF('14 Detailed Results'!P21="","",'14 Detailed Results'!P21)</f>
        <v>0</v>
      </c>
      <c r="S188">
        <f>IF('14 Detailed Results'!Q21="","",'14 Detailed Results'!Q21)</f>
        <v>0</v>
      </c>
      <c r="T188" t="str">
        <f>IF('14 Detailed Results'!R21="","",'14 Detailed Results'!R21)</f>
        <v>Service user</v>
      </c>
      <c r="U188" t="str">
        <f>IF('14 Detailed Results'!S21="","",'14 Detailed Results'!S21)</f>
        <v/>
      </c>
    </row>
    <row r="189" spans="1:21">
      <c r="A189" s="3">
        <f>'02 Hospice Setup'!$B$5</f>
        <v>0</v>
      </c>
      <c r="B189" s="3" t="str">
        <f>'02 Hospice Setup'!$H$5</f>
        <v>Version 5.1</v>
      </c>
      <c r="C189" s="3" t="str">
        <f>'02 Hospice Setup'!$E$6</f>
        <v>Actual</v>
      </c>
      <c r="D189" s="18">
        <f>'02 Hospice Setup'!$H$7</f>
        <v>0</v>
      </c>
      <c r="E189" s="3" t="s">
        <v>146</v>
      </c>
      <c r="F189" s="3" t="s">
        <v>149</v>
      </c>
      <c r="G189" s="3" t="s">
        <v>150</v>
      </c>
      <c r="H189" s="3" t="s">
        <v>564</v>
      </c>
      <c r="I189" s="19">
        <f>SUMIF('14 Detailed Results'!$A$5:$A$35,F189,'14 Detailed Results'!$K$5:$K$35)</f>
        <v>0</v>
      </c>
      <c r="J189" s="3" t="s">
        <v>706</v>
      </c>
      <c r="K189" s="3"/>
      <c r="L189" s="3"/>
      <c r="M189" s="3"/>
      <c r="N189" s="3" t="str">
        <f t="shared" si="16"/>
        <v>Not provided</v>
      </c>
      <c r="O189" s="3"/>
      <c r="P189" s="3" t="s">
        <v>43</v>
      </c>
      <c r="Q189">
        <f>IF('14 Detailed Results'!O21="","",'14 Detailed Results'!O21)</f>
        <v>0</v>
      </c>
      <c r="R189">
        <f>IF('14 Detailed Results'!P21="","",'14 Detailed Results'!P21)</f>
        <v>0</v>
      </c>
      <c r="S189">
        <f>IF('14 Detailed Results'!Q21="","",'14 Detailed Results'!Q21)</f>
        <v>0</v>
      </c>
      <c r="T189" t="str">
        <f>IF('14 Detailed Results'!R21="","",'14 Detailed Results'!R21)</f>
        <v>Service user</v>
      </c>
      <c r="U189" t="str">
        <f>IF('14 Detailed Results'!S21="","",'14 Detailed Results'!S21)</f>
        <v/>
      </c>
    </row>
    <row r="190" spans="1:21">
      <c r="A190" s="3">
        <f>'02 Hospice Setup'!$B$5</f>
        <v>0</v>
      </c>
      <c r="B190" s="3" t="str">
        <f>'02 Hospice Setup'!$H$5</f>
        <v>Version 5.1</v>
      </c>
      <c r="C190" s="3" t="str">
        <f>'02 Hospice Setup'!$E$6</f>
        <v>Actual</v>
      </c>
      <c r="D190" s="18">
        <f>'02 Hospice Setup'!$H$7</f>
        <v>0</v>
      </c>
      <c r="E190" s="3" t="s">
        <v>146</v>
      </c>
      <c r="F190" s="3" t="s">
        <v>149</v>
      </c>
      <c r="G190" s="3" t="s">
        <v>150</v>
      </c>
      <c r="H190" s="3" t="s">
        <v>708</v>
      </c>
      <c r="I190" s="19">
        <f>SUMIF('14 Detailed Results'!$A$5:$A$35,F190,'14 Detailed Results'!$L$5:$L$35)</f>
        <v>0</v>
      </c>
      <c r="J190" s="3" t="s">
        <v>427</v>
      </c>
      <c r="K190" s="3"/>
      <c r="L190" s="3"/>
      <c r="M190" s="3"/>
      <c r="N190" s="3" t="str">
        <f>IF(SUMIF('14 Detailed Results'!$A$5:$A$35,F190,'14 Detailed Results'!$F$5:$F$35)=0,"Not provided",IF(I190=0,"Not available","Complete"))</f>
        <v>Not provided</v>
      </c>
      <c r="O190" s="3" t="s">
        <v>709</v>
      </c>
      <c r="P190" s="3" t="s">
        <v>43</v>
      </c>
      <c r="Q190">
        <f>IF('14 Detailed Results'!O21="","",'14 Detailed Results'!O21)</f>
        <v>0</v>
      </c>
      <c r="R190">
        <f>IF('14 Detailed Results'!P21="","",'14 Detailed Results'!P21)</f>
        <v>0</v>
      </c>
      <c r="S190">
        <f>IF('14 Detailed Results'!Q21="","",'14 Detailed Results'!Q21)</f>
        <v>0</v>
      </c>
      <c r="T190" t="str">
        <f>IF('14 Detailed Results'!R21="","",'14 Detailed Results'!R21)</f>
        <v>Service user</v>
      </c>
      <c r="U190" t="str">
        <f>IF('14 Detailed Results'!S21="","",'14 Detailed Results'!S21)</f>
        <v/>
      </c>
    </row>
    <row r="191" spans="1:21">
      <c r="A191" s="3">
        <f>'02 Hospice Setup'!$B$5</f>
        <v>0</v>
      </c>
      <c r="B191" s="3" t="str">
        <f>'02 Hospice Setup'!$H$5</f>
        <v>Version 5.1</v>
      </c>
      <c r="C191" s="3" t="str">
        <f>'02 Hospice Setup'!$E$6</f>
        <v>Actual</v>
      </c>
      <c r="D191" s="18">
        <f>'02 Hospice Setup'!$H$7</f>
        <v>0</v>
      </c>
      <c r="E191" s="3" t="s">
        <v>146</v>
      </c>
      <c r="F191" s="3" t="s">
        <v>149</v>
      </c>
      <c r="G191" s="3" t="s">
        <v>150</v>
      </c>
      <c r="H191" s="3" t="s">
        <v>710</v>
      </c>
      <c r="I191" s="19">
        <f>SUMIF('14 Detailed Results'!$A$5:$A$35,F191,'14 Detailed Results'!$M$5:$M$35)</f>
        <v>0</v>
      </c>
      <c r="J191" s="3" t="s">
        <v>61</v>
      </c>
      <c r="K191" s="3"/>
      <c r="L191" s="3"/>
      <c r="M191" s="3"/>
      <c r="N191" s="3" t="str">
        <f>IF(SUMIF('14 Detailed Results'!$A$5:$A$35,F191,'14 Detailed Results'!$F$5:$F$35)=0,"Not provided",IF(I191=0,"Not available","Complete"))</f>
        <v>Not provided</v>
      </c>
      <c r="O191" s="3"/>
      <c r="P191" s="3" t="s">
        <v>43</v>
      </c>
      <c r="Q191">
        <f>IF('14 Detailed Results'!O21="","",'14 Detailed Results'!O21)</f>
        <v>0</v>
      </c>
      <c r="R191">
        <f>IF('14 Detailed Results'!P21="","",'14 Detailed Results'!P21)</f>
        <v>0</v>
      </c>
      <c r="S191">
        <f>IF('14 Detailed Results'!Q21="","",'14 Detailed Results'!Q21)</f>
        <v>0</v>
      </c>
      <c r="T191" t="str">
        <f>IF('14 Detailed Results'!R21="","",'14 Detailed Results'!R21)</f>
        <v>Service user</v>
      </c>
      <c r="U191" t="str">
        <f>IF('14 Detailed Results'!S21="","",'14 Detailed Results'!S21)</f>
        <v/>
      </c>
    </row>
    <row r="192" spans="1:21">
      <c r="A192" s="3">
        <f>'02 Hospice Setup'!$B$5</f>
        <v>0</v>
      </c>
      <c r="B192" s="3" t="str">
        <f>'02 Hospice Setup'!$H$5</f>
        <v>Version 5.1</v>
      </c>
      <c r="C192" s="3" t="str">
        <f>'02 Hospice Setup'!$E$6</f>
        <v>Actual</v>
      </c>
      <c r="D192" s="18">
        <f>'02 Hospice Setup'!$H$7</f>
        <v>0</v>
      </c>
      <c r="E192" s="3" t="s">
        <v>146</v>
      </c>
      <c r="F192" s="3" t="s">
        <v>151</v>
      </c>
      <c r="G192" s="3" t="s">
        <v>152</v>
      </c>
      <c r="H192" s="3" t="s">
        <v>559</v>
      </c>
      <c r="I192" s="19">
        <f>SUMIF('14 Detailed Results'!$A$5:$A$35,F192,'14 Detailed Results'!$C$5:$C$35)</f>
        <v>0</v>
      </c>
      <c r="J192" s="3" t="s">
        <v>61</v>
      </c>
      <c r="K192" s="3"/>
      <c r="L192" s="3"/>
      <c r="M192" s="3"/>
      <c r="N192" s="3" t="str">
        <f t="shared" ref="N192:N200" si="17">IF(I192=0,"Not provided","Complete")</f>
        <v>Not provided</v>
      </c>
      <c r="O192" s="3"/>
      <c r="P192" s="3" t="s">
        <v>43</v>
      </c>
      <c r="Q192">
        <f>IF('14 Detailed Results'!O22="","",'14 Detailed Results'!O22)</f>
        <v>0</v>
      </c>
      <c r="R192">
        <f>IF('14 Detailed Results'!P22="","",'14 Detailed Results'!P22)</f>
        <v>0</v>
      </c>
      <c r="S192">
        <f>IF('14 Detailed Results'!Q22="","",'14 Detailed Results'!Q22)</f>
        <v>0</v>
      </c>
      <c r="T192" t="str">
        <f>IF('14 Detailed Results'!R22="","",'14 Detailed Results'!R22)</f>
        <v>Service user</v>
      </c>
      <c r="U192" t="str">
        <f>IF('14 Detailed Results'!S22="","",'14 Detailed Results'!S22)</f>
        <v/>
      </c>
    </row>
    <row r="193" spans="1:21">
      <c r="A193" s="3">
        <f>'02 Hospice Setup'!$B$5</f>
        <v>0</v>
      </c>
      <c r="B193" s="3" t="str">
        <f>'02 Hospice Setup'!$H$5</f>
        <v>Version 5.1</v>
      </c>
      <c r="C193" s="3" t="str">
        <f>'02 Hospice Setup'!$E$6</f>
        <v>Actual</v>
      </c>
      <c r="D193" s="18">
        <f>'02 Hospice Setup'!$H$7</f>
        <v>0</v>
      </c>
      <c r="E193" s="3" t="s">
        <v>146</v>
      </c>
      <c r="F193" s="3" t="s">
        <v>151</v>
      </c>
      <c r="G193" s="3" t="s">
        <v>152</v>
      </c>
      <c r="H193" s="3" t="s">
        <v>560</v>
      </c>
      <c r="I193" s="19">
        <f>SUMIF('14 Detailed Results'!$A$5:$A$35,F193,'14 Detailed Results'!$D$5:$D$35)</f>
        <v>0</v>
      </c>
      <c r="J193" s="3" t="s">
        <v>61</v>
      </c>
      <c r="K193" s="3"/>
      <c r="L193" s="3"/>
      <c r="M193" s="3"/>
      <c r="N193" s="3" t="str">
        <f t="shared" si="17"/>
        <v>Not provided</v>
      </c>
      <c r="O193" s="3"/>
      <c r="P193" s="3" t="s">
        <v>43</v>
      </c>
      <c r="Q193">
        <f>IF('14 Detailed Results'!O22="","",'14 Detailed Results'!O22)</f>
        <v>0</v>
      </c>
      <c r="R193">
        <f>IF('14 Detailed Results'!P22="","",'14 Detailed Results'!P22)</f>
        <v>0</v>
      </c>
      <c r="S193">
        <f>IF('14 Detailed Results'!Q22="","",'14 Detailed Results'!Q22)</f>
        <v>0</v>
      </c>
      <c r="T193" t="str">
        <f>IF('14 Detailed Results'!R22="","",'14 Detailed Results'!R22)</f>
        <v>Service user</v>
      </c>
      <c r="U193" t="str">
        <f>IF('14 Detailed Results'!S22="","",'14 Detailed Results'!S22)</f>
        <v/>
      </c>
    </row>
    <row r="194" spans="1:21">
      <c r="A194" s="3">
        <f>'02 Hospice Setup'!$B$5</f>
        <v>0</v>
      </c>
      <c r="B194" s="3" t="str">
        <f>'02 Hospice Setup'!$H$5</f>
        <v>Version 5.1</v>
      </c>
      <c r="C194" s="3" t="str">
        <f>'02 Hospice Setup'!$E$6</f>
        <v>Actual</v>
      </c>
      <c r="D194" s="18">
        <f>'02 Hospice Setup'!$H$7</f>
        <v>0</v>
      </c>
      <c r="E194" s="3" t="s">
        <v>146</v>
      </c>
      <c r="F194" s="3" t="s">
        <v>151</v>
      </c>
      <c r="G194" s="3" t="s">
        <v>152</v>
      </c>
      <c r="H194" s="3" t="s">
        <v>570</v>
      </c>
      <c r="I194" s="19">
        <f>SUMIF('14 Detailed Results'!$A$5:$A$35,F194,'14 Detailed Results'!$E$5:$E$35)</f>
        <v>0</v>
      </c>
      <c r="J194" s="3" t="s">
        <v>61</v>
      </c>
      <c r="K194" s="3"/>
      <c r="L194" s="3"/>
      <c r="M194" s="3"/>
      <c r="N194" s="3" t="str">
        <f t="shared" si="17"/>
        <v>Not provided</v>
      </c>
      <c r="O194" s="3"/>
      <c r="P194" s="3" t="s">
        <v>43</v>
      </c>
      <c r="Q194">
        <f>IF('14 Detailed Results'!O22="","",'14 Detailed Results'!O22)</f>
        <v>0</v>
      </c>
      <c r="R194">
        <f>IF('14 Detailed Results'!P22="","",'14 Detailed Results'!P22)</f>
        <v>0</v>
      </c>
      <c r="S194">
        <f>IF('14 Detailed Results'!Q22="","",'14 Detailed Results'!Q22)</f>
        <v>0</v>
      </c>
      <c r="T194" t="str">
        <f>IF('14 Detailed Results'!R22="","",'14 Detailed Results'!R22)</f>
        <v>Service user</v>
      </c>
      <c r="U194" t="str">
        <f>IF('14 Detailed Results'!S22="","",'14 Detailed Results'!S22)</f>
        <v/>
      </c>
    </row>
    <row r="195" spans="1:21">
      <c r="A195" s="3">
        <f>'02 Hospice Setup'!$B$5</f>
        <v>0</v>
      </c>
      <c r="B195" s="3" t="str">
        <f>'02 Hospice Setup'!$H$5</f>
        <v>Version 5.1</v>
      </c>
      <c r="C195" s="3" t="str">
        <f>'02 Hospice Setup'!$E$6</f>
        <v>Actual</v>
      </c>
      <c r="D195" s="18">
        <f>'02 Hospice Setup'!$H$7</f>
        <v>0</v>
      </c>
      <c r="E195" s="3" t="s">
        <v>146</v>
      </c>
      <c r="F195" s="3" t="s">
        <v>151</v>
      </c>
      <c r="G195" s="3" t="s">
        <v>152</v>
      </c>
      <c r="H195" s="3" t="s">
        <v>561</v>
      </c>
      <c r="I195" s="19">
        <f>SUMIF('14 Detailed Results'!$A$5:$A$35,F195,'14 Detailed Results'!$F$5:$F$35)</f>
        <v>0</v>
      </c>
      <c r="J195" s="3" t="s">
        <v>61</v>
      </c>
      <c r="K195" s="3"/>
      <c r="L195" s="3"/>
      <c r="M195" s="3"/>
      <c r="N195" s="3" t="str">
        <f t="shared" si="17"/>
        <v>Not provided</v>
      </c>
      <c r="O195" s="3"/>
      <c r="P195" s="3" t="s">
        <v>43</v>
      </c>
      <c r="Q195">
        <f>IF('14 Detailed Results'!O22="","",'14 Detailed Results'!O22)</f>
        <v>0</v>
      </c>
      <c r="R195">
        <f>IF('14 Detailed Results'!P22="","",'14 Detailed Results'!P22)</f>
        <v>0</v>
      </c>
      <c r="S195">
        <f>IF('14 Detailed Results'!Q22="","",'14 Detailed Results'!Q22)</f>
        <v>0</v>
      </c>
      <c r="T195" t="str">
        <f>IF('14 Detailed Results'!R22="","",'14 Detailed Results'!R22)</f>
        <v>Service user</v>
      </c>
      <c r="U195" t="str">
        <f>IF('14 Detailed Results'!S22="","",'14 Detailed Results'!S22)</f>
        <v/>
      </c>
    </row>
    <row r="196" spans="1:21">
      <c r="A196" s="3">
        <f>'02 Hospice Setup'!$B$5</f>
        <v>0</v>
      </c>
      <c r="B196" s="3" t="str">
        <f>'02 Hospice Setup'!$H$5</f>
        <v>Version 5.1</v>
      </c>
      <c r="C196" s="3" t="str">
        <f>'02 Hospice Setup'!$E$6</f>
        <v>Actual</v>
      </c>
      <c r="D196" s="18">
        <f>'02 Hospice Setup'!$H$7</f>
        <v>0</v>
      </c>
      <c r="E196" s="3" t="s">
        <v>146</v>
      </c>
      <c r="F196" s="3" t="s">
        <v>151</v>
      </c>
      <c r="G196" s="3" t="s">
        <v>152</v>
      </c>
      <c r="H196" s="3" t="s">
        <v>382</v>
      </c>
      <c r="I196" s="19">
        <f>SUMIF('14 Detailed Results'!$A$5:$A$35,F196,'14 Detailed Results'!$G$5:$G$35)</f>
        <v>0</v>
      </c>
      <c r="J196" s="3" t="s">
        <v>396</v>
      </c>
      <c r="K196" s="3"/>
      <c r="L196" s="3"/>
      <c r="M196" s="3"/>
      <c r="N196" s="3" t="str">
        <f t="shared" si="17"/>
        <v>Not provided</v>
      </c>
      <c r="O196" s="3"/>
      <c r="P196" s="3" t="s">
        <v>43</v>
      </c>
      <c r="Q196">
        <f>IF('14 Detailed Results'!O22="","",'14 Detailed Results'!O22)</f>
        <v>0</v>
      </c>
      <c r="R196">
        <f>IF('14 Detailed Results'!P22="","",'14 Detailed Results'!P22)</f>
        <v>0</v>
      </c>
      <c r="S196">
        <f>IF('14 Detailed Results'!Q22="","",'14 Detailed Results'!Q22)</f>
        <v>0</v>
      </c>
      <c r="T196" t="str">
        <f>IF('14 Detailed Results'!R22="","",'14 Detailed Results'!R22)</f>
        <v>Service user</v>
      </c>
      <c r="U196" t="str">
        <f>IF('14 Detailed Results'!S22="","",'14 Detailed Results'!S22)</f>
        <v/>
      </c>
    </row>
    <row r="197" spans="1:21">
      <c r="A197" s="3">
        <f>'02 Hospice Setup'!$B$5</f>
        <v>0</v>
      </c>
      <c r="B197" s="3" t="str">
        <f>'02 Hospice Setup'!$H$5</f>
        <v>Version 5.1</v>
      </c>
      <c r="C197" s="3" t="str">
        <f>'02 Hospice Setup'!$E$6</f>
        <v>Actual</v>
      </c>
      <c r="D197" s="18">
        <f>'02 Hospice Setup'!$H$7</f>
        <v>0</v>
      </c>
      <c r="E197" s="3" t="s">
        <v>146</v>
      </c>
      <c r="F197" s="3" t="s">
        <v>151</v>
      </c>
      <c r="G197" s="3" t="s">
        <v>152</v>
      </c>
      <c r="H197" s="3" t="s">
        <v>386</v>
      </c>
      <c r="I197" s="19">
        <f>SUMIF('14 Detailed Results'!$A$5:$A$35,F197,'14 Detailed Results'!$H$5:$H$35)</f>
        <v>0</v>
      </c>
      <c r="J197" s="3" t="s">
        <v>396</v>
      </c>
      <c r="K197" s="3"/>
      <c r="L197" s="3"/>
      <c r="M197" s="3"/>
      <c r="N197" s="3" t="str">
        <f t="shared" si="17"/>
        <v>Not provided</v>
      </c>
      <c r="O197" s="3"/>
      <c r="P197" s="3" t="s">
        <v>43</v>
      </c>
      <c r="Q197">
        <f>IF('14 Detailed Results'!O22="","",'14 Detailed Results'!O22)</f>
        <v>0</v>
      </c>
      <c r="R197">
        <f>IF('14 Detailed Results'!P22="","",'14 Detailed Results'!P22)</f>
        <v>0</v>
      </c>
      <c r="S197">
        <f>IF('14 Detailed Results'!Q22="","",'14 Detailed Results'!Q22)</f>
        <v>0</v>
      </c>
      <c r="T197" t="str">
        <f>IF('14 Detailed Results'!R22="","",'14 Detailed Results'!R22)</f>
        <v>Service user</v>
      </c>
      <c r="U197" t="str">
        <f>IF('14 Detailed Results'!S22="","",'14 Detailed Results'!S22)</f>
        <v/>
      </c>
    </row>
    <row r="198" spans="1:21">
      <c r="A198" s="3">
        <f>'02 Hospice Setup'!$B$5</f>
        <v>0</v>
      </c>
      <c r="B198" s="3" t="str">
        <f>'02 Hospice Setup'!$H$5</f>
        <v>Version 5.1</v>
      </c>
      <c r="C198" s="3" t="str">
        <f>'02 Hospice Setup'!$E$6</f>
        <v>Actual</v>
      </c>
      <c r="D198" s="18">
        <f>'02 Hospice Setup'!$H$7</f>
        <v>0</v>
      </c>
      <c r="E198" s="3" t="s">
        <v>146</v>
      </c>
      <c r="F198" s="3" t="s">
        <v>151</v>
      </c>
      <c r="G198" s="3" t="s">
        <v>152</v>
      </c>
      <c r="H198" s="3" t="s">
        <v>704</v>
      </c>
      <c r="I198" s="19">
        <f>SUMIF('14 Detailed Results'!$A$5:$A$35,F198,'14 Detailed Results'!$I$5:$I$35)</f>
        <v>0</v>
      </c>
      <c r="J198" s="3" t="s">
        <v>61</v>
      </c>
      <c r="K198" s="3"/>
      <c r="L198" s="3"/>
      <c r="M198" s="3"/>
      <c r="N198" s="3" t="str">
        <f t="shared" si="17"/>
        <v>Not provided</v>
      </c>
      <c r="O198" s="3"/>
      <c r="P198" s="3" t="s">
        <v>43</v>
      </c>
      <c r="Q198">
        <f>IF('14 Detailed Results'!O22="","",'14 Detailed Results'!O22)</f>
        <v>0</v>
      </c>
      <c r="R198">
        <f>IF('14 Detailed Results'!P22="","",'14 Detailed Results'!P22)</f>
        <v>0</v>
      </c>
      <c r="S198">
        <f>IF('14 Detailed Results'!Q22="","",'14 Detailed Results'!Q22)</f>
        <v>0</v>
      </c>
      <c r="T198" t="str">
        <f>IF('14 Detailed Results'!R22="","",'14 Detailed Results'!R22)</f>
        <v>Service user</v>
      </c>
      <c r="U198" t="str">
        <f>IF('14 Detailed Results'!S22="","",'14 Detailed Results'!S22)</f>
        <v/>
      </c>
    </row>
    <row r="199" spans="1:21">
      <c r="A199" s="3">
        <f>'02 Hospice Setup'!$B$5</f>
        <v>0</v>
      </c>
      <c r="B199" s="3" t="str">
        <f>'02 Hospice Setup'!$H$5</f>
        <v>Version 5.1</v>
      </c>
      <c r="C199" s="3" t="str">
        <f>'02 Hospice Setup'!$E$6</f>
        <v>Actual</v>
      </c>
      <c r="D199" s="18">
        <f>'02 Hospice Setup'!$H$7</f>
        <v>0</v>
      </c>
      <c r="E199" s="3" t="s">
        <v>146</v>
      </c>
      <c r="F199" s="3" t="s">
        <v>151</v>
      </c>
      <c r="G199" s="3" t="s">
        <v>152</v>
      </c>
      <c r="H199" s="3" t="s">
        <v>705</v>
      </c>
      <c r="I199" s="19">
        <f>SUMIF('14 Detailed Results'!$A$5:$A$35,F199,'14 Detailed Results'!$J$5:$J$35)</f>
        <v>0</v>
      </c>
      <c r="J199" s="3" t="s">
        <v>61</v>
      </c>
      <c r="K199" s="3"/>
      <c r="L199" s="3"/>
      <c r="M199" s="3"/>
      <c r="N199" s="3" t="str">
        <f t="shared" si="17"/>
        <v>Not provided</v>
      </c>
      <c r="O199" s="3"/>
      <c r="P199" s="3" t="s">
        <v>43</v>
      </c>
      <c r="Q199">
        <f>IF('14 Detailed Results'!O22="","",'14 Detailed Results'!O22)</f>
        <v>0</v>
      </c>
      <c r="R199">
        <f>IF('14 Detailed Results'!P22="","",'14 Detailed Results'!P22)</f>
        <v>0</v>
      </c>
      <c r="S199">
        <f>IF('14 Detailed Results'!Q22="","",'14 Detailed Results'!Q22)</f>
        <v>0</v>
      </c>
      <c r="T199" t="str">
        <f>IF('14 Detailed Results'!R22="","",'14 Detailed Results'!R22)</f>
        <v>Service user</v>
      </c>
      <c r="U199" t="str">
        <f>IF('14 Detailed Results'!S22="","",'14 Detailed Results'!S22)</f>
        <v/>
      </c>
    </row>
    <row r="200" spans="1:21">
      <c r="A200" s="3">
        <f>'02 Hospice Setup'!$B$5</f>
        <v>0</v>
      </c>
      <c r="B200" s="3" t="str">
        <f>'02 Hospice Setup'!$H$5</f>
        <v>Version 5.1</v>
      </c>
      <c r="C200" s="3" t="str">
        <f>'02 Hospice Setup'!$E$6</f>
        <v>Actual</v>
      </c>
      <c r="D200" s="18">
        <f>'02 Hospice Setup'!$H$7</f>
        <v>0</v>
      </c>
      <c r="E200" s="3" t="s">
        <v>146</v>
      </c>
      <c r="F200" s="3" t="s">
        <v>151</v>
      </c>
      <c r="G200" s="3" t="s">
        <v>152</v>
      </c>
      <c r="H200" s="3" t="s">
        <v>564</v>
      </c>
      <c r="I200" s="19">
        <f>SUMIF('14 Detailed Results'!$A$5:$A$35,F200,'14 Detailed Results'!$K$5:$K$35)</f>
        <v>0</v>
      </c>
      <c r="J200" s="3" t="s">
        <v>706</v>
      </c>
      <c r="K200" s="3"/>
      <c r="L200" s="3"/>
      <c r="M200" s="3"/>
      <c r="N200" s="3" t="str">
        <f t="shared" si="17"/>
        <v>Not provided</v>
      </c>
      <c r="O200" s="3"/>
      <c r="P200" s="3" t="s">
        <v>43</v>
      </c>
      <c r="Q200">
        <f>IF('14 Detailed Results'!O22="","",'14 Detailed Results'!O22)</f>
        <v>0</v>
      </c>
      <c r="R200">
        <f>IF('14 Detailed Results'!P22="","",'14 Detailed Results'!P22)</f>
        <v>0</v>
      </c>
      <c r="S200">
        <f>IF('14 Detailed Results'!Q22="","",'14 Detailed Results'!Q22)</f>
        <v>0</v>
      </c>
      <c r="T200" t="str">
        <f>IF('14 Detailed Results'!R22="","",'14 Detailed Results'!R22)</f>
        <v>Service user</v>
      </c>
      <c r="U200" t="str">
        <f>IF('14 Detailed Results'!S22="","",'14 Detailed Results'!S22)</f>
        <v/>
      </c>
    </row>
    <row r="201" spans="1:21">
      <c r="A201" s="3">
        <f>'02 Hospice Setup'!$B$5</f>
        <v>0</v>
      </c>
      <c r="B201" s="3" t="str">
        <f>'02 Hospice Setup'!$H$5</f>
        <v>Version 5.1</v>
      </c>
      <c r="C201" s="3" t="str">
        <f>'02 Hospice Setup'!$E$6</f>
        <v>Actual</v>
      </c>
      <c r="D201" s="18">
        <f>'02 Hospice Setup'!$H$7</f>
        <v>0</v>
      </c>
      <c r="E201" s="3" t="s">
        <v>146</v>
      </c>
      <c r="F201" s="3" t="s">
        <v>151</v>
      </c>
      <c r="G201" s="3" t="s">
        <v>152</v>
      </c>
      <c r="H201" s="3" t="s">
        <v>708</v>
      </c>
      <c r="I201" s="19">
        <f>SUMIF('14 Detailed Results'!$A$5:$A$35,F201,'14 Detailed Results'!$L$5:$L$35)</f>
        <v>0</v>
      </c>
      <c r="J201" s="3" t="s">
        <v>427</v>
      </c>
      <c r="K201" s="3"/>
      <c r="L201" s="3"/>
      <c r="M201" s="3"/>
      <c r="N201" s="3" t="str">
        <f>IF(SUMIF('14 Detailed Results'!$A$5:$A$35,F201,'14 Detailed Results'!$F$5:$F$35)=0,"Not provided",IF(I201=0,"Not available","Complete"))</f>
        <v>Not provided</v>
      </c>
      <c r="O201" s="3" t="s">
        <v>709</v>
      </c>
      <c r="P201" s="3" t="s">
        <v>43</v>
      </c>
      <c r="Q201">
        <f>IF('14 Detailed Results'!O22="","",'14 Detailed Results'!O22)</f>
        <v>0</v>
      </c>
      <c r="R201">
        <f>IF('14 Detailed Results'!P22="","",'14 Detailed Results'!P22)</f>
        <v>0</v>
      </c>
      <c r="S201">
        <f>IF('14 Detailed Results'!Q22="","",'14 Detailed Results'!Q22)</f>
        <v>0</v>
      </c>
      <c r="T201" t="str">
        <f>IF('14 Detailed Results'!R22="","",'14 Detailed Results'!R22)</f>
        <v>Service user</v>
      </c>
      <c r="U201" t="str">
        <f>IF('14 Detailed Results'!S22="","",'14 Detailed Results'!S22)</f>
        <v/>
      </c>
    </row>
    <row r="202" spans="1:21">
      <c r="A202" s="3">
        <f>'02 Hospice Setup'!$B$5</f>
        <v>0</v>
      </c>
      <c r="B202" s="3" t="str">
        <f>'02 Hospice Setup'!$H$5</f>
        <v>Version 5.1</v>
      </c>
      <c r="C202" s="3" t="str">
        <f>'02 Hospice Setup'!$E$6</f>
        <v>Actual</v>
      </c>
      <c r="D202" s="18">
        <f>'02 Hospice Setup'!$H$7</f>
        <v>0</v>
      </c>
      <c r="E202" s="3" t="s">
        <v>146</v>
      </c>
      <c r="F202" s="3" t="s">
        <v>151</v>
      </c>
      <c r="G202" s="3" t="s">
        <v>152</v>
      </c>
      <c r="H202" s="3" t="s">
        <v>710</v>
      </c>
      <c r="I202" s="19">
        <f>SUMIF('14 Detailed Results'!$A$5:$A$35,F202,'14 Detailed Results'!$M$5:$M$35)</f>
        <v>0</v>
      </c>
      <c r="J202" s="3" t="s">
        <v>61</v>
      </c>
      <c r="K202" s="3"/>
      <c r="L202" s="3"/>
      <c r="M202" s="3"/>
      <c r="N202" s="3" t="str">
        <f>IF(SUMIF('14 Detailed Results'!$A$5:$A$35,F202,'14 Detailed Results'!$F$5:$F$35)=0,"Not provided",IF(I202=0,"Not available","Complete"))</f>
        <v>Not provided</v>
      </c>
      <c r="O202" s="3"/>
      <c r="P202" s="3" t="s">
        <v>43</v>
      </c>
      <c r="Q202">
        <f>IF('14 Detailed Results'!O22="","",'14 Detailed Results'!O22)</f>
        <v>0</v>
      </c>
      <c r="R202">
        <f>IF('14 Detailed Results'!P22="","",'14 Detailed Results'!P22)</f>
        <v>0</v>
      </c>
      <c r="S202">
        <f>IF('14 Detailed Results'!Q22="","",'14 Detailed Results'!Q22)</f>
        <v>0</v>
      </c>
      <c r="T202" t="str">
        <f>IF('14 Detailed Results'!R22="","",'14 Detailed Results'!R22)</f>
        <v>Service user</v>
      </c>
      <c r="U202" t="str">
        <f>IF('14 Detailed Results'!S22="","",'14 Detailed Results'!S22)</f>
        <v/>
      </c>
    </row>
    <row r="203" spans="1:21">
      <c r="A203" s="3">
        <f>'02 Hospice Setup'!$B$5</f>
        <v>0</v>
      </c>
      <c r="B203" s="3" t="str">
        <f>'02 Hospice Setup'!$H$5</f>
        <v>Version 5.1</v>
      </c>
      <c r="C203" s="3" t="str">
        <f>'02 Hospice Setup'!$E$6</f>
        <v>Actual</v>
      </c>
      <c r="D203" s="18">
        <f>'02 Hospice Setup'!$H$7</f>
        <v>0</v>
      </c>
      <c r="E203" s="3" t="s">
        <v>146</v>
      </c>
      <c r="F203" s="3" t="s">
        <v>153</v>
      </c>
      <c r="G203" s="3" t="s">
        <v>154</v>
      </c>
      <c r="H203" s="3" t="s">
        <v>559</v>
      </c>
      <c r="I203" s="19">
        <f>SUMIF('14 Detailed Results'!$A$5:$A$35,F203,'14 Detailed Results'!$C$5:$C$35)</f>
        <v>0</v>
      </c>
      <c r="J203" s="3" t="s">
        <v>61</v>
      </c>
      <c r="K203" s="3"/>
      <c r="L203" s="3"/>
      <c r="M203" s="3"/>
      <c r="N203" s="3" t="str">
        <f t="shared" ref="N203:N211" si="18">IF(I203=0,"Not provided","Complete")</f>
        <v>Not provided</v>
      </c>
      <c r="O203" s="3"/>
      <c r="P203" s="3" t="s">
        <v>43</v>
      </c>
      <c r="Q203">
        <f>IF('14 Detailed Results'!O23="","",'14 Detailed Results'!O23)</f>
        <v>0</v>
      </c>
      <c r="R203">
        <f>IF('14 Detailed Results'!P23="","",'14 Detailed Results'!P23)</f>
        <v>0</v>
      </c>
      <c r="S203">
        <f>IF('14 Detailed Results'!Q23="","",'14 Detailed Results'!Q23)</f>
        <v>0</v>
      </c>
      <c r="T203" t="str">
        <f>IF('14 Detailed Results'!R23="","",'14 Detailed Results'!R23)</f>
        <v>Service user</v>
      </c>
      <c r="U203" t="str">
        <f>IF('14 Detailed Results'!S23="","",'14 Detailed Results'!S23)</f>
        <v/>
      </c>
    </row>
    <row r="204" spans="1:21">
      <c r="A204" s="3">
        <f>'02 Hospice Setup'!$B$5</f>
        <v>0</v>
      </c>
      <c r="B204" s="3" t="str">
        <f>'02 Hospice Setup'!$H$5</f>
        <v>Version 5.1</v>
      </c>
      <c r="C204" s="3" t="str">
        <f>'02 Hospice Setup'!$E$6</f>
        <v>Actual</v>
      </c>
      <c r="D204" s="18">
        <f>'02 Hospice Setup'!$H$7</f>
        <v>0</v>
      </c>
      <c r="E204" s="3" t="s">
        <v>146</v>
      </c>
      <c r="F204" s="3" t="s">
        <v>153</v>
      </c>
      <c r="G204" s="3" t="s">
        <v>154</v>
      </c>
      <c r="H204" s="3" t="s">
        <v>560</v>
      </c>
      <c r="I204" s="19">
        <f>SUMIF('14 Detailed Results'!$A$5:$A$35,F204,'14 Detailed Results'!$D$5:$D$35)</f>
        <v>0</v>
      </c>
      <c r="J204" s="3" t="s">
        <v>61</v>
      </c>
      <c r="K204" s="3"/>
      <c r="L204" s="3"/>
      <c r="M204" s="3"/>
      <c r="N204" s="3" t="str">
        <f t="shared" si="18"/>
        <v>Not provided</v>
      </c>
      <c r="O204" s="3"/>
      <c r="P204" s="3" t="s">
        <v>43</v>
      </c>
      <c r="Q204">
        <f>IF('14 Detailed Results'!O23="","",'14 Detailed Results'!O23)</f>
        <v>0</v>
      </c>
      <c r="R204">
        <f>IF('14 Detailed Results'!P23="","",'14 Detailed Results'!P23)</f>
        <v>0</v>
      </c>
      <c r="S204">
        <f>IF('14 Detailed Results'!Q23="","",'14 Detailed Results'!Q23)</f>
        <v>0</v>
      </c>
      <c r="T204" t="str">
        <f>IF('14 Detailed Results'!R23="","",'14 Detailed Results'!R23)</f>
        <v>Service user</v>
      </c>
      <c r="U204" t="str">
        <f>IF('14 Detailed Results'!S23="","",'14 Detailed Results'!S23)</f>
        <v/>
      </c>
    </row>
    <row r="205" spans="1:21">
      <c r="A205" s="3">
        <f>'02 Hospice Setup'!$B$5</f>
        <v>0</v>
      </c>
      <c r="B205" s="3" t="str">
        <f>'02 Hospice Setup'!$H$5</f>
        <v>Version 5.1</v>
      </c>
      <c r="C205" s="3" t="str">
        <f>'02 Hospice Setup'!$E$6</f>
        <v>Actual</v>
      </c>
      <c r="D205" s="18">
        <f>'02 Hospice Setup'!$H$7</f>
        <v>0</v>
      </c>
      <c r="E205" s="3" t="s">
        <v>146</v>
      </c>
      <c r="F205" s="3" t="s">
        <v>153</v>
      </c>
      <c r="G205" s="3" t="s">
        <v>154</v>
      </c>
      <c r="H205" s="3" t="s">
        <v>570</v>
      </c>
      <c r="I205" s="19">
        <f>SUMIF('14 Detailed Results'!$A$5:$A$35,F205,'14 Detailed Results'!$E$5:$E$35)</f>
        <v>0</v>
      </c>
      <c r="J205" s="3" t="s">
        <v>61</v>
      </c>
      <c r="K205" s="3"/>
      <c r="L205" s="3"/>
      <c r="M205" s="3"/>
      <c r="N205" s="3" t="str">
        <f t="shared" si="18"/>
        <v>Not provided</v>
      </c>
      <c r="O205" s="3"/>
      <c r="P205" s="3" t="s">
        <v>43</v>
      </c>
      <c r="Q205">
        <f>IF('14 Detailed Results'!O23="","",'14 Detailed Results'!O23)</f>
        <v>0</v>
      </c>
      <c r="R205">
        <f>IF('14 Detailed Results'!P23="","",'14 Detailed Results'!P23)</f>
        <v>0</v>
      </c>
      <c r="S205">
        <f>IF('14 Detailed Results'!Q23="","",'14 Detailed Results'!Q23)</f>
        <v>0</v>
      </c>
      <c r="T205" t="str">
        <f>IF('14 Detailed Results'!R23="","",'14 Detailed Results'!R23)</f>
        <v>Service user</v>
      </c>
      <c r="U205" t="str">
        <f>IF('14 Detailed Results'!S23="","",'14 Detailed Results'!S23)</f>
        <v/>
      </c>
    </row>
    <row r="206" spans="1:21">
      <c r="A206" s="3">
        <f>'02 Hospice Setup'!$B$5</f>
        <v>0</v>
      </c>
      <c r="B206" s="3" t="str">
        <f>'02 Hospice Setup'!$H$5</f>
        <v>Version 5.1</v>
      </c>
      <c r="C206" s="3" t="str">
        <f>'02 Hospice Setup'!$E$6</f>
        <v>Actual</v>
      </c>
      <c r="D206" s="18">
        <f>'02 Hospice Setup'!$H$7</f>
        <v>0</v>
      </c>
      <c r="E206" s="3" t="s">
        <v>146</v>
      </c>
      <c r="F206" s="3" t="s">
        <v>153</v>
      </c>
      <c r="G206" s="3" t="s">
        <v>154</v>
      </c>
      <c r="H206" s="3" t="s">
        <v>561</v>
      </c>
      <c r="I206" s="19">
        <f>SUMIF('14 Detailed Results'!$A$5:$A$35,F206,'14 Detailed Results'!$F$5:$F$35)</f>
        <v>0</v>
      </c>
      <c r="J206" s="3" t="s">
        <v>61</v>
      </c>
      <c r="K206" s="3"/>
      <c r="L206" s="3"/>
      <c r="M206" s="3"/>
      <c r="N206" s="3" t="str">
        <f t="shared" si="18"/>
        <v>Not provided</v>
      </c>
      <c r="O206" s="3"/>
      <c r="P206" s="3" t="s">
        <v>43</v>
      </c>
      <c r="Q206">
        <f>IF('14 Detailed Results'!O23="","",'14 Detailed Results'!O23)</f>
        <v>0</v>
      </c>
      <c r="R206">
        <f>IF('14 Detailed Results'!P23="","",'14 Detailed Results'!P23)</f>
        <v>0</v>
      </c>
      <c r="S206">
        <f>IF('14 Detailed Results'!Q23="","",'14 Detailed Results'!Q23)</f>
        <v>0</v>
      </c>
      <c r="T206" t="str">
        <f>IF('14 Detailed Results'!R23="","",'14 Detailed Results'!R23)</f>
        <v>Service user</v>
      </c>
      <c r="U206" t="str">
        <f>IF('14 Detailed Results'!S23="","",'14 Detailed Results'!S23)</f>
        <v/>
      </c>
    </row>
    <row r="207" spans="1:21">
      <c r="A207" s="3">
        <f>'02 Hospice Setup'!$B$5</f>
        <v>0</v>
      </c>
      <c r="B207" s="3" t="str">
        <f>'02 Hospice Setup'!$H$5</f>
        <v>Version 5.1</v>
      </c>
      <c r="C207" s="3" t="str">
        <f>'02 Hospice Setup'!$E$6</f>
        <v>Actual</v>
      </c>
      <c r="D207" s="18">
        <f>'02 Hospice Setup'!$H$7</f>
        <v>0</v>
      </c>
      <c r="E207" s="3" t="s">
        <v>146</v>
      </c>
      <c r="F207" s="3" t="s">
        <v>153</v>
      </c>
      <c r="G207" s="3" t="s">
        <v>154</v>
      </c>
      <c r="H207" s="3" t="s">
        <v>382</v>
      </c>
      <c r="I207" s="19">
        <f>SUMIF('14 Detailed Results'!$A$5:$A$35,F207,'14 Detailed Results'!$G$5:$G$35)</f>
        <v>0</v>
      </c>
      <c r="J207" s="3" t="s">
        <v>410</v>
      </c>
      <c r="K207" s="3"/>
      <c r="L207" s="3"/>
      <c r="M207" s="3"/>
      <c r="N207" s="3" t="str">
        <f t="shared" si="18"/>
        <v>Not provided</v>
      </c>
      <c r="O207" s="3"/>
      <c r="P207" s="3" t="s">
        <v>43</v>
      </c>
      <c r="Q207">
        <f>IF('14 Detailed Results'!O23="","",'14 Detailed Results'!O23)</f>
        <v>0</v>
      </c>
      <c r="R207">
        <f>IF('14 Detailed Results'!P23="","",'14 Detailed Results'!P23)</f>
        <v>0</v>
      </c>
      <c r="S207">
        <f>IF('14 Detailed Results'!Q23="","",'14 Detailed Results'!Q23)</f>
        <v>0</v>
      </c>
      <c r="T207" t="str">
        <f>IF('14 Detailed Results'!R23="","",'14 Detailed Results'!R23)</f>
        <v>Service user</v>
      </c>
      <c r="U207" t="str">
        <f>IF('14 Detailed Results'!S23="","",'14 Detailed Results'!S23)</f>
        <v/>
      </c>
    </row>
    <row r="208" spans="1:21">
      <c r="A208" s="3">
        <f>'02 Hospice Setup'!$B$5</f>
        <v>0</v>
      </c>
      <c r="B208" s="3" t="str">
        <f>'02 Hospice Setup'!$H$5</f>
        <v>Version 5.1</v>
      </c>
      <c r="C208" s="3" t="str">
        <f>'02 Hospice Setup'!$E$6</f>
        <v>Actual</v>
      </c>
      <c r="D208" s="18">
        <f>'02 Hospice Setup'!$H$7</f>
        <v>0</v>
      </c>
      <c r="E208" s="3" t="s">
        <v>146</v>
      </c>
      <c r="F208" s="3" t="s">
        <v>153</v>
      </c>
      <c r="G208" s="3" t="s">
        <v>154</v>
      </c>
      <c r="H208" s="3" t="s">
        <v>386</v>
      </c>
      <c r="I208" s="19">
        <f>SUMIF('14 Detailed Results'!$A$5:$A$35,F208,'14 Detailed Results'!$H$5:$H$35)</f>
        <v>0</v>
      </c>
      <c r="J208" s="3" t="s">
        <v>410</v>
      </c>
      <c r="K208" s="3"/>
      <c r="L208" s="3"/>
      <c r="M208" s="3"/>
      <c r="N208" s="3" t="str">
        <f t="shared" si="18"/>
        <v>Not provided</v>
      </c>
      <c r="O208" s="3"/>
      <c r="P208" s="3" t="s">
        <v>43</v>
      </c>
      <c r="Q208">
        <f>IF('14 Detailed Results'!O23="","",'14 Detailed Results'!O23)</f>
        <v>0</v>
      </c>
      <c r="R208">
        <f>IF('14 Detailed Results'!P23="","",'14 Detailed Results'!P23)</f>
        <v>0</v>
      </c>
      <c r="S208">
        <f>IF('14 Detailed Results'!Q23="","",'14 Detailed Results'!Q23)</f>
        <v>0</v>
      </c>
      <c r="T208" t="str">
        <f>IF('14 Detailed Results'!R23="","",'14 Detailed Results'!R23)</f>
        <v>Service user</v>
      </c>
      <c r="U208" t="str">
        <f>IF('14 Detailed Results'!S23="","",'14 Detailed Results'!S23)</f>
        <v/>
      </c>
    </row>
    <row r="209" spans="1:21">
      <c r="A209" s="3">
        <f>'02 Hospice Setup'!$B$5</f>
        <v>0</v>
      </c>
      <c r="B209" s="3" t="str">
        <f>'02 Hospice Setup'!$H$5</f>
        <v>Version 5.1</v>
      </c>
      <c r="C209" s="3" t="str">
        <f>'02 Hospice Setup'!$E$6</f>
        <v>Actual</v>
      </c>
      <c r="D209" s="18">
        <f>'02 Hospice Setup'!$H$7</f>
        <v>0</v>
      </c>
      <c r="E209" s="3" t="s">
        <v>146</v>
      </c>
      <c r="F209" s="3" t="s">
        <v>153</v>
      </c>
      <c r="G209" s="3" t="s">
        <v>154</v>
      </c>
      <c r="H209" s="3" t="s">
        <v>704</v>
      </c>
      <c r="I209" s="19">
        <f>SUMIF('14 Detailed Results'!$A$5:$A$35,F209,'14 Detailed Results'!$I$5:$I$35)</f>
        <v>0</v>
      </c>
      <c r="J209" s="3" t="s">
        <v>61</v>
      </c>
      <c r="K209" s="3"/>
      <c r="L209" s="3"/>
      <c r="M209" s="3"/>
      <c r="N209" s="3" t="str">
        <f t="shared" si="18"/>
        <v>Not provided</v>
      </c>
      <c r="O209" s="3"/>
      <c r="P209" s="3" t="s">
        <v>43</v>
      </c>
      <c r="Q209">
        <f>IF('14 Detailed Results'!O23="","",'14 Detailed Results'!O23)</f>
        <v>0</v>
      </c>
      <c r="R209">
        <f>IF('14 Detailed Results'!P23="","",'14 Detailed Results'!P23)</f>
        <v>0</v>
      </c>
      <c r="S209">
        <f>IF('14 Detailed Results'!Q23="","",'14 Detailed Results'!Q23)</f>
        <v>0</v>
      </c>
      <c r="T209" t="str">
        <f>IF('14 Detailed Results'!R23="","",'14 Detailed Results'!R23)</f>
        <v>Service user</v>
      </c>
      <c r="U209" t="str">
        <f>IF('14 Detailed Results'!S23="","",'14 Detailed Results'!S23)</f>
        <v/>
      </c>
    </row>
    <row r="210" spans="1:21">
      <c r="A210" s="3">
        <f>'02 Hospice Setup'!$B$5</f>
        <v>0</v>
      </c>
      <c r="B210" s="3" t="str">
        <f>'02 Hospice Setup'!$H$5</f>
        <v>Version 5.1</v>
      </c>
      <c r="C210" s="3" t="str">
        <f>'02 Hospice Setup'!$E$6</f>
        <v>Actual</v>
      </c>
      <c r="D210" s="18">
        <f>'02 Hospice Setup'!$H$7</f>
        <v>0</v>
      </c>
      <c r="E210" s="3" t="s">
        <v>146</v>
      </c>
      <c r="F210" s="3" t="s">
        <v>153</v>
      </c>
      <c r="G210" s="3" t="s">
        <v>154</v>
      </c>
      <c r="H210" s="3" t="s">
        <v>705</v>
      </c>
      <c r="I210" s="19">
        <f>SUMIF('14 Detailed Results'!$A$5:$A$35,F210,'14 Detailed Results'!$J$5:$J$35)</f>
        <v>0</v>
      </c>
      <c r="J210" s="3" t="s">
        <v>61</v>
      </c>
      <c r="K210" s="3"/>
      <c r="L210" s="3"/>
      <c r="M210" s="3"/>
      <c r="N210" s="3" t="str">
        <f t="shared" si="18"/>
        <v>Not provided</v>
      </c>
      <c r="O210" s="3"/>
      <c r="P210" s="3" t="s">
        <v>43</v>
      </c>
      <c r="Q210">
        <f>IF('14 Detailed Results'!O23="","",'14 Detailed Results'!O23)</f>
        <v>0</v>
      </c>
      <c r="R210">
        <f>IF('14 Detailed Results'!P23="","",'14 Detailed Results'!P23)</f>
        <v>0</v>
      </c>
      <c r="S210">
        <f>IF('14 Detailed Results'!Q23="","",'14 Detailed Results'!Q23)</f>
        <v>0</v>
      </c>
      <c r="T210" t="str">
        <f>IF('14 Detailed Results'!R23="","",'14 Detailed Results'!R23)</f>
        <v>Service user</v>
      </c>
      <c r="U210" t="str">
        <f>IF('14 Detailed Results'!S23="","",'14 Detailed Results'!S23)</f>
        <v/>
      </c>
    </row>
    <row r="211" spans="1:21">
      <c r="A211" s="3">
        <f>'02 Hospice Setup'!$B$5</f>
        <v>0</v>
      </c>
      <c r="B211" s="3" t="str">
        <f>'02 Hospice Setup'!$H$5</f>
        <v>Version 5.1</v>
      </c>
      <c r="C211" s="3" t="str">
        <f>'02 Hospice Setup'!$E$6</f>
        <v>Actual</v>
      </c>
      <c r="D211" s="18">
        <f>'02 Hospice Setup'!$H$7</f>
        <v>0</v>
      </c>
      <c r="E211" s="3" t="s">
        <v>146</v>
      </c>
      <c r="F211" s="3" t="s">
        <v>153</v>
      </c>
      <c r="G211" s="3" t="s">
        <v>154</v>
      </c>
      <c r="H211" s="3" t="s">
        <v>564</v>
      </c>
      <c r="I211" s="19">
        <f>SUMIF('14 Detailed Results'!$A$5:$A$35,F211,'14 Detailed Results'!$K$5:$K$35)</f>
        <v>0</v>
      </c>
      <c r="J211" s="3" t="s">
        <v>706</v>
      </c>
      <c r="K211" s="3"/>
      <c r="L211" s="3"/>
      <c r="M211" s="3"/>
      <c r="N211" s="3" t="str">
        <f t="shared" si="18"/>
        <v>Not provided</v>
      </c>
      <c r="O211" s="3"/>
      <c r="P211" s="3" t="s">
        <v>43</v>
      </c>
      <c r="Q211">
        <f>IF('14 Detailed Results'!O23="","",'14 Detailed Results'!O23)</f>
        <v>0</v>
      </c>
      <c r="R211">
        <f>IF('14 Detailed Results'!P23="","",'14 Detailed Results'!P23)</f>
        <v>0</v>
      </c>
      <c r="S211">
        <f>IF('14 Detailed Results'!Q23="","",'14 Detailed Results'!Q23)</f>
        <v>0</v>
      </c>
      <c r="T211" t="str">
        <f>IF('14 Detailed Results'!R23="","",'14 Detailed Results'!R23)</f>
        <v>Service user</v>
      </c>
      <c r="U211" t="str">
        <f>IF('14 Detailed Results'!S23="","",'14 Detailed Results'!S23)</f>
        <v/>
      </c>
    </row>
    <row r="212" spans="1:21">
      <c r="A212" s="3">
        <f>'02 Hospice Setup'!$B$5</f>
        <v>0</v>
      </c>
      <c r="B212" s="3" t="str">
        <f>'02 Hospice Setup'!$H$5</f>
        <v>Version 5.1</v>
      </c>
      <c r="C212" s="3" t="str">
        <f>'02 Hospice Setup'!$E$6</f>
        <v>Actual</v>
      </c>
      <c r="D212" s="18">
        <f>'02 Hospice Setup'!$H$7</f>
        <v>0</v>
      </c>
      <c r="E212" s="3" t="s">
        <v>146</v>
      </c>
      <c r="F212" s="3" t="s">
        <v>153</v>
      </c>
      <c r="G212" s="3" t="s">
        <v>154</v>
      </c>
      <c r="H212" s="3" t="s">
        <v>708</v>
      </c>
      <c r="I212" s="19">
        <f>SUMIF('14 Detailed Results'!$A$5:$A$35,F212,'14 Detailed Results'!$L$5:$L$35)</f>
        <v>0</v>
      </c>
      <c r="J212" s="3" t="s">
        <v>427</v>
      </c>
      <c r="K212" s="3"/>
      <c r="L212" s="3"/>
      <c r="M212" s="3"/>
      <c r="N212" s="3" t="str">
        <f>IF(SUMIF('14 Detailed Results'!$A$5:$A$35,F212,'14 Detailed Results'!$F$5:$F$35)=0,"Not provided",IF(I212=0,"Not available","Complete"))</f>
        <v>Not provided</v>
      </c>
      <c r="O212" s="3" t="s">
        <v>709</v>
      </c>
      <c r="P212" s="3" t="s">
        <v>43</v>
      </c>
      <c r="Q212">
        <f>IF('14 Detailed Results'!O23="","",'14 Detailed Results'!O23)</f>
        <v>0</v>
      </c>
      <c r="R212">
        <f>IF('14 Detailed Results'!P23="","",'14 Detailed Results'!P23)</f>
        <v>0</v>
      </c>
      <c r="S212">
        <f>IF('14 Detailed Results'!Q23="","",'14 Detailed Results'!Q23)</f>
        <v>0</v>
      </c>
      <c r="T212" t="str">
        <f>IF('14 Detailed Results'!R23="","",'14 Detailed Results'!R23)</f>
        <v>Service user</v>
      </c>
      <c r="U212" t="str">
        <f>IF('14 Detailed Results'!S23="","",'14 Detailed Results'!S23)</f>
        <v/>
      </c>
    </row>
    <row r="213" spans="1:21">
      <c r="A213" s="3">
        <f>'02 Hospice Setup'!$B$5</f>
        <v>0</v>
      </c>
      <c r="B213" s="3" t="str">
        <f>'02 Hospice Setup'!$H$5</f>
        <v>Version 5.1</v>
      </c>
      <c r="C213" s="3" t="str">
        <f>'02 Hospice Setup'!$E$6</f>
        <v>Actual</v>
      </c>
      <c r="D213" s="18">
        <f>'02 Hospice Setup'!$H$7</f>
        <v>0</v>
      </c>
      <c r="E213" s="3" t="s">
        <v>146</v>
      </c>
      <c r="F213" s="3" t="s">
        <v>153</v>
      </c>
      <c r="G213" s="3" t="s">
        <v>154</v>
      </c>
      <c r="H213" s="3" t="s">
        <v>710</v>
      </c>
      <c r="I213" s="19">
        <f>SUMIF('14 Detailed Results'!$A$5:$A$35,F213,'14 Detailed Results'!$M$5:$M$35)</f>
        <v>0</v>
      </c>
      <c r="J213" s="3" t="s">
        <v>61</v>
      </c>
      <c r="K213" s="3"/>
      <c r="L213" s="3"/>
      <c r="M213" s="3"/>
      <c r="N213" s="3" t="str">
        <f>IF(SUMIF('14 Detailed Results'!$A$5:$A$35,F213,'14 Detailed Results'!$F$5:$F$35)=0,"Not provided",IF(I213=0,"Not available","Complete"))</f>
        <v>Not provided</v>
      </c>
      <c r="O213" s="3"/>
      <c r="P213" s="3" t="s">
        <v>43</v>
      </c>
      <c r="Q213">
        <f>IF('14 Detailed Results'!O23="","",'14 Detailed Results'!O23)</f>
        <v>0</v>
      </c>
      <c r="R213">
        <f>IF('14 Detailed Results'!P23="","",'14 Detailed Results'!P23)</f>
        <v>0</v>
      </c>
      <c r="S213">
        <f>IF('14 Detailed Results'!Q23="","",'14 Detailed Results'!Q23)</f>
        <v>0</v>
      </c>
      <c r="T213" t="str">
        <f>IF('14 Detailed Results'!R23="","",'14 Detailed Results'!R23)</f>
        <v>Service user</v>
      </c>
      <c r="U213" t="str">
        <f>IF('14 Detailed Results'!S23="","",'14 Detailed Results'!S23)</f>
        <v/>
      </c>
    </row>
    <row r="214" spans="1:21">
      <c r="A214" s="3">
        <f>'02 Hospice Setup'!$B$5</f>
        <v>0</v>
      </c>
      <c r="B214" s="3" t="str">
        <f>'02 Hospice Setup'!$H$5</f>
        <v>Version 5.1</v>
      </c>
      <c r="C214" s="3" t="str">
        <f>'02 Hospice Setup'!$E$6</f>
        <v>Actual</v>
      </c>
      <c r="D214" s="18">
        <f>'02 Hospice Setup'!$H$7</f>
        <v>0</v>
      </c>
      <c r="E214" s="3" t="s">
        <v>146</v>
      </c>
      <c r="F214" s="3" t="s">
        <v>155</v>
      </c>
      <c r="G214" s="3" t="s">
        <v>121</v>
      </c>
      <c r="H214" s="3" t="s">
        <v>559</v>
      </c>
      <c r="I214" s="19">
        <f>SUMIF('14 Detailed Results'!$A$5:$A$35,F214,'14 Detailed Results'!$C$5:$C$35)</f>
        <v>0</v>
      </c>
      <c r="J214" s="3" t="s">
        <v>61</v>
      </c>
      <c r="K214" s="3"/>
      <c r="L214" s="3"/>
      <c r="M214" s="3"/>
      <c r="N214" s="3" t="str">
        <f t="shared" ref="N214:N222" si="19">IF(I214=0,"Not provided","Complete")</f>
        <v>Not provided</v>
      </c>
      <c r="O214" s="3"/>
      <c r="P214" s="3" t="s">
        <v>43</v>
      </c>
      <c r="Q214">
        <f>IF('14 Detailed Results'!O24="","",'14 Detailed Results'!O24)</f>
        <v>0</v>
      </c>
      <c r="R214">
        <f>IF('14 Detailed Results'!P24="","",'14 Detailed Results'!P24)</f>
        <v>0</v>
      </c>
      <c r="S214">
        <f>IF('14 Detailed Results'!Q24="","",'14 Detailed Results'!Q24)</f>
        <v>0</v>
      </c>
      <c r="T214" t="str">
        <f>IF('14 Detailed Results'!R24="","",'14 Detailed Results'!R24)</f>
        <v>Service user</v>
      </c>
      <c r="U214" t="str">
        <f>IF('14 Detailed Results'!S24="","",'14 Detailed Results'!S24)</f>
        <v/>
      </c>
    </row>
    <row r="215" spans="1:21">
      <c r="A215" s="3">
        <f>'02 Hospice Setup'!$B$5</f>
        <v>0</v>
      </c>
      <c r="B215" s="3" t="str">
        <f>'02 Hospice Setup'!$H$5</f>
        <v>Version 5.1</v>
      </c>
      <c r="C215" s="3" t="str">
        <f>'02 Hospice Setup'!$E$6</f>
        <v>Actual</v>
      </c>
      <c r="D215" s="18">
        <f>'02 Hospice Setup'!$H$7</f>
        <v>0</v>
      </c>
      <c r="E215" s="3" t="s">
        <v>146</v>
      </c>
      <c r="F215" s="3" t="s">
        <v>155</v>
      </c>
      <c r="G215" s="3" t="s">
        <v>121</v>
      </c>
      <c r="H215" s="3" t="s">
        <v>560</v>
      </c>
      <c r="I215" s="19">
        <f>SUMIF('14 Detailed Results'!$A$5:$A$35,F215,'14 Detailed Results'!$D$5:$D$35)</f>
        <v>0</v>
      </c>
      <c r="J215" s="3" t="s">
        <v>61</v>
      </c>
      <c r="K215" s="3"/>
      <c r="L215" s="3"/>
      <c r="M215" s="3"/>
      <c r="N215" s="3" t="str">
        <f t="shared" si="19"/>
        <v>Not provided</v>
      </c>
      <c r="O215" s="3"/>
      <c r="P215" s="3" t="s">
        <v>43</v>
      </c>
      <c r="Q215">
        <f>IF('14 Detailed Results'!O24="","",'14 Detailed Results'!O24)</f>
        <v>0</v>
      </c>
      <c r="R215">
        <f>IF('14 Detailed Results'!P24="","",'14 Detailed Results'!P24)</f>
        <v>0</v>
      </c>
      <c r="S215">
        <f>IF('14 Detailed Results'!Q24="","",'14 Detailed Results'!Q24)</f>
        <v>0</v>
      </c>
      <c r="T215" t="str">
        <f>IF('14 Detailed Results'!R24="","",'14 Detailed Results'!R24)</f>
        <v>Service user</v>
      </c>
      <c r="U215" t="str">
        <f>IF('14 Detailed Results'!S24="","",'14 Detailed Results'!S24)</f>
        <v/>
      </c>
    </row>
    <row r="216" spans="1:21">
      <c r="A216" s="3">
        <f>'02 Hospice Setup'!$B$5</f>
        <v>0</v>
      </c>
      <c r="B216" s="3" t="str">
        <f>'02 Hospice Setup'!$H$5</f>
        <v>Version 5.1</v>
      </c>
      <c r="C216" s="3" t="str">
        <f>'02 Hospice Setup'!$E$6</f>
        <v>Actual</v>
      </c>
      <c r="D216" s="18">
        <f>'02 Hospice Setup'!$H$7</f>
        <v>0</v>
      </c>
      <c r="E216" s="3" t="s">
        <v>146</v>
      </c>
      <c r="F216" s="3" t="s">
        <v>155</v>
      </c>
      <c r="G216" s="3" t="s">
        <v>121</v>
      </c>
      <c r="H216" s="3" t="s">
        <v>570</v>
      </c>
      <c r="I216" s="19">
        <f>SUMIF('14 Detailed Results'!$A$5:$A$35,F216,'14 Detailed Results'!$E$5:$E$35)</f>
        <v>0</v>
      </c>
      <c r="J216" s="3" t="s">
        <v>61</v>
      </c>
      <c r="K216" s="3"/>
      <c r="L216" s="3"/>
      <c r="M216" s="3"/>
      <c r="N216" s="3" t="str">
        <f t="shared" si="19"/>
        <v>Not provided</v>
      </c>
      <c r="O216" s="3"/>
      <c r="P216" s="3" t="s">
        <v>43</v>
      </c>
      <c r="Q216">
        <f>IF('14 Detailed Results'!O24="","",'14 Detailed Results'!O24)</f>
        <v>0</v>
      </c>
      <c r="R216">
        <f>IF('14 Detailed Results'!P24="","",'14 Detailed Results'!P24)</f>
        <v>0</v>
      </c>
      <c r="S216">
        <f>IF('14 Detailed Results'!Q24="","",'14 Detailed Results'!Q24)</f>
        <v>0</v>
      </c>
      <c r="T216" t="str">
        <f>IF('14 Detailed Results'!R24="","",'14 Detailed Results'!R24)</f>
        <v>Service user</v>
      </c>
      <c r="U216" t="str">
        <f>IF('14 Detailed Results'!S24="","",'14 Detailed Results'!S24)</f>
        <v/>
      </c>
    </row>
    <row r="217" spans="1:21">
      <c r="A217" s="3">
        <f>'02 Hospice Setup'!$B$5</f>
        <v>0</v>
      </c>
      <c r="B217" s="3" t="str">
        <f>'02 Hospice Setup'!$H$5</f>
        <v>Version 5.1</v>
      </c>
      <c r="C217" s="3" t="str">
        <f>'02 Hospice Setup'!$E$6</f>
        <v>Actual</v>
      </c>
      <c r="D217" s="18">
        <f>'02 Hospice Setup'!$H$7</f>
        <v>0</v>
      </c>
      <c r="E217" s="3" t="s">
        <v>146</v>
      </c>
      <c r="F217" s="3" t="s">
        <v>155</v>
      </c>
      <c r="G217" s="3" t="s">
        <v>121</v>
      </c>
      <c r="H217" s="3" t="s">
        <v>561</v>
      </c>
      <c r="I217" s="19">
        <f>SUMIF('14 Detailed Results'!$A$5:$A$35,F217,'14 Detailed Results'!$F$5:$F$35)</f>
        <v>0</v>
      </c>
      <c r="J217" s="3" t="s">
        <v>61</v>
      </c>
      <c r="K217" s="3"/>
      <c r="L217" s="3"/>
      <c r="M217" s="3"/>
      <c r="N217" s="3" t="str">
        <f t="shared" si="19"/>
        <v>Not provided</v>
      </c>
      <c r="O217" s="3"/>
      <c r="P217" s="3" t="s">
        <v>43</v>
      </c>
      <c r="Q217">
        <f>IF('14 Detailed Results'!O24="","",'14 Detailed Results'!O24)</f>
        <v>0</v>
      </c>
      <c r="R217">
        <f>IF('14 Detailed Results'!P24="","",'14 Detailed Results'!P24)</f>
        <v>0</v>
      </c>
      <c r="S217">
        <f>IF('14 Detailed Results'!Q24="","",'14 Detailed Results'!Q24)</f>
        <v>0</v>
      </c>
      <c r="T217" t="str">
        <f>IF('14 Detailed Results'!R24="","",'14 Detailed Results'!R24)</f>
        <v>Service user</v>
      </c>
      <c r="U217" t="str">
        <f>IF('14 Detailed Results'!S24="","",'14 Detailed Results'!S24)</f>
        <v/>
      </c>
    </row>
    <row r="218" spans="1:21">
      <c r="A218" s="3">
        <f>'02 Hospice Setup'!$B$5</f>
        <v>0</v>
      </c>
      <c r="B218" s="3" t="str">
        <f>'02 Hospice Setup'!$H$5</f>
        <v>Version 5.1</v>
      </c>
      <c r="C218" s="3" t="str">
        <f>'02 Hospice Setup'!$E$6</f>
        <v>Actual</v>
      </c>
      <c r="D218" s="18">
        <f>'02 Hospice Setup'!$H$7</f>
        <v>0</v>
      </c>
      <c r="E218" s="3" t="s">
        <v>146</v>
      </c>
      <c r="F218" s="3" t="s">
        <v>155</v>
      </c>
      <c r="G218" s="3" t="s">
        <v>121</v>
      </c>
      <c r="H218" s="3" t="s">
        <v>382</v>
      </c>
      <c r="I218" s="19">
        <f>SUMIF('14 Detailed Results'!$A$5:$A$35,F218,'14 Detailed Results'!$G$5:$G$35)</f>
        <v>0</v>
      </c>
      <c r="J218" s="3" t="s">
        <v>396</v>
      </c>
      <c r="K218" s="3"/>
      <c r="L218" s="3"/>
      <c r="M218" s="3"/>
      <c r="N218" s="3" t="str">
        <f t="shared" si="19"/>
        <v>Not provided</v>
      </c>
      <c r="O218" s="3"/>
      <c r="P218" s="3" t="s">
        <v>43</v>
      </c>
      <c r="Q218">
        <f>IF('14 Detailed Results'!O24="","",'14 Detailed Results'!O24)</f>
        <v>0</v>
      </c>
      <c r="R218">
        <f>IF('14 Detailed Results'!P24="","",'14 Detailed Results'!P24)</f>
        <v>0</v>
      </c>
      <c r="S218">
        <f>IF('14 Detailed Results'!Q24="","",'14 Detailed Results'!Q24)</f>
        <v>0</v>
      </c>
      <c r="T218" t="str">
        <f>IF('14 Detailed Results'!R24="","",'14 Detailed Results'!R24)</f>
        <v>Service user</v>
      </c>
      <c r="U218" t="str">
        <f>IF('14 Detailed Results'!S24="","",'14 Detailed Results'!S24)</f>
        <v/>
      </c>
    </row>
    <row r="219" spans="1:21">
      <c r="A219" s="3">
        <f>'02 Hospice Setup'!$B$5</f>
        <v>0</v>
      </c>
      <c r="B219" s="3" t="str">
        <f>'02 Hospice Setup'!$H$5</f>
        <v>Version 5.1</v>
      </c>
      <c r="C219" s="3" t="str">
        <f>'02 Hospice Setup'!$E$6</f>
        <v>Actual</v>
      </c>
      <c r="D219" s="18">
        <f>'02 Hospice Setup'!$H$7</f>
        <v>0</v>
      </c>
      <c r="E219" s="3" t="s">
        <v>146</v>
      </c>
      <c r="F219" s="3" t="s">
        <v>155</v>
      </c>
      <c r="G219" s="3" t="s">
        <v>121</v>
      </c>
      <c r="H219" s="3" t="s">
        <v>386</v>
      </c>
      <c r="I219" s="19">
        <f>SUMIF('14 Detailed Results'!$A$5:$A$35,F219,'14 Detailed Results'!$H$5:$H$35)</f>
        <v>0</v>
      </c>
      <c r="J219" s="3" t="s">
        <v>396</v>
      </c>
      <c r="K219" s="3"/>
      <c r="L219" s="3"/>
      <c r="M219" s="3"/>
      <c r="N219" s="3" t="str">
        <f t="shared" si="19"/>
        <v>Not provided</v>
      </c>
      <c r="O219" s="3"/>
      <c r="P219" s="3" t="s">
        <v>43</v>
      </c>
      <c r="Q219">
        <f>IF('14 Detailed Results'!O24="","",'14 Detailed Results'!O24)</f>
        <v>0</v>
      </c>
      <c r="R219">
        <f>IF('14 Detailed Results'!P24="","",'14 Detailed Results'!P24)</f>
        <v>0</v>
      </c>
      <c r="S219">
        <f>IF('14 Detailed Results'!Q24="","",'14 Detailed Results'!Q24)</f>
        <v>0</v>
      </c>
      <c r="T219" t="str">
        <f>IF('14 Detailed Results'!R24="","",'14 Detailed Results'!R24)</f>
        <v>Service user</v>
      </c>
      <c r="U219" t="str">
        <f>IF('14 Detailed Results'!S24="","",'14 Detailed Results'!S24)</f>
        <v/>
      </c>
    </row>
    <row r="220" spans="1:21">
      <c r="A220" s="3">
        <f>'02 Hospice Setup'!$B$5</f>
        <v>0</v>
      </c>
      <c r="B220" s="3" t="str">
        <f>'02 Hospice Setup'!$H$5</f>
        <v>Version 5.1</v>
      </c>
      <c r="C220" s="3" t="str">
        <f>'02 Hospice Setup'!$E$6</f>
        <v>Actual</v>
      </c>
      <c r="D220" s="18">
        <f>'02 Hospice Setup'!$H$7</f>
        <v>0</v>
      </c>
      <c r="E220" s="3" t="s">
        <v>146</v>
      </c>
      <c r="F220" s="3" t="s">
        <v>155</v>
      </c>
      <c r="G220" s="3" t="s">
        <v>121</v>
      </c>
      <c r="H220" s="3" t="s">
        <v>704</v>
      </c>
      <c r="I220" s="19">
        <f>SUMIF('14 Detailed Results'!$A$5:$A$35,F220,'14 Detailed Results'!$I$5:$I$35)</f>
        <v>0</v>
      </c>
      <c r="J220" s="3" t="s">
        <v>61</v>
      </c>
      <c r="K220" s="3"/>
      <c r="L220" s="3"/>
      <c r="M220" s="3"/>
      <c r="N220" s="3" t="str">
        <f t="shared" si="19"/>
        <v>Not provided</v>
      </c>
      <c r="O220" s="3"/>
      <c r="P220" s="3" t="s">
        <v>43</v>
      </c>
      <c r="Q220">
        <f>IF('14 Detailed Results'!O24="","",'14 Detailed Results'!O24)</f>
        <v>0</v>
      </c>
      <c r="R220">
        <f>IF('14 Detailed Results'!P24="","",'14 Detailed Results'!P24)</f>
        <v>0</v>
      </c>
      <c r="S220">
        <f>IF('14 Detailed Results'!Q24="","",'14 Detailed Results'!Q24)</f>
        <v>0</v>
      </c>
      <c r="T220" t="str">
        <f>IF('14 Detailed Results'!R24="","",'14 Detailed Results'!R24)</f>
        <v>Service user</v>
      </c>
      <c r="U220" t="str">
        <f>IF('14 Detailed Results'!S24="","",'14 Detailed Results'!S24)</f>
        <v/>
      </c>
    </row>
    <row r="221" spans="1:21">
      <c r="A221" s="3">
        <f>'02 Hospice Setup'!$B$5</f>
        <v>0</v>
      </c>
      <c r="B221" s="3" t="str">
        <f>'02 Hospice Setup'!$H$5</f>
        <v>Version 5.1</v>
      </c>
      <c r="C221" s="3" t="str">
        <f>'02 Hospice Setup'!$E$6</f>
        <v>Actual</v>
      </c>
      <c r="D221" s="18">
        <f>'02 Hospice Setup'!$H$7</f>
        <v>0</v>
      </c>
      <c r="E221" s="3" t="s">
        <v>146</v>
      </c>
      <c r="F221" s="3" t="s">
        <v>155</v>
      </c>
      <c r="G221" s="3" t="s">
        <v>121</v>
      </c>
      <c r="H221" s="3" t="s">
        <v>705</v>
      </c>
      <c r="I221" s="19">
        <f>SUMIF('14 Detailed Results'!$A$5:$A$35,F221,'14 Detailed Results'!$J$5:$J$35)</f>
        <v>0</v>
      </c>
      <c r="J221" s="3" t="s">
        <v>61</v>
      </c>
      <c r="K221" s="3"/>
      <c r="L221" s="3"/>
      <c r="M221" s="3"/>
      <c r="N221" s="3" t="str">
        <f t="shared" si="19"/>
        <v>Not provided</v>
      </c>
      <c r="O221" s="3"/>
      <c r="P221" s="3" t="s">
        <v>43</v>
      </c>
      <c r="Q221">
        <f>IF('14 Detailed Results'!O24="","",'14 Detailed Results'!O24)</f>
        <v>0</v>
      </c>
      <c r="R221">
        <f>IF('14 Detailed Results'!P24="","",'14 Detailed Results'!P24)</f>
        <v>0</v>
      </c>
      <c r="S221">
        <f>IF('14 Detailed Results'!Q24="","",'14 Detailed Results'!Q24)</f>
        <v>0</v>
      </c>
      <c r="T221" t="str">
        <f>IF('14 Detailed Results'!R24="","",'14 Detailed Results'!R24)</f>
        <v>Service user</v>
      </c>
      <c r="U221" t="str">
        <f>IF('14 Detailed Results'!S24="","",'14 Detailed Results'!S24)</f>
        <v/>
      </c>
    </row>
    <row r="222" spans="1:21">
      <c r="A222" s="3">
        <f>'02 Hospice Setup'!$B$5</f>
        <v>0</v>
      </c>
      <c r="B222" s="3" t="str">
        <f>'02 Hospice Setup'!$H$5</f>
        <v>Version 5.1</v>
      </c>
      <c r="C222" s="3" t="str">
        <f>'02 Hospice Setup'!$E$6</f>
        <v>Actual</v>
      </c>
      <c r="D222" s="18">
        <f>'02 Hospice Setup'!$H$7</f>
        <v>0</v>
      </c>
      <c r="E222" s="3" t="s">
        <v>146</v>
      </c>
      <c r="F222" s="3" t="s">
        <v>155</v>
      </c>
      <c r="G222" s="3" t="s">
        <v>121</v>
      </c>
      <c r="H222" s="3" t="s">
        <v>564</v>
      </c>
      <c r="I222" s="19">
        <f>SUMIF('14 Detailed Results'!$A$5:$A$35,F222,'14 Detailed Results'!$K$5:$K$35)</f>
        <v>0</v>
      </c>
      <c r="J222" s="3" t="s">
        <v>706</v>
      </c>
      <c r="K222" s="3"/>
      <c r="L222" s="3"/>
      <c r="M222" s="3"/>
      <c r="N222" s="3" t="str">
        <f t="shared" si="19"/>
        <v>Not provided</v>
      </c>
      <c r="O222" s="3"/>
      <c r="P222" s="3" t="s">
        <v>43</v>
      </c>
      <c r="Q222">
        <f>IF('14 Detailed Results'!O24="","",'14 Detailed Results'!O24)</f>
        <v>0</v>
      </c>
      <c r="R222">
        <f>IF('14 Detailed Results'!P24="","",'14 Detailed Results'!P24)</f>
        <v>0</v>
      </c>
      <c r="S222">
        <f>IF('14 Detailed Results'!Q24="","",'14 Detailed Results'!Q24)</f>
        <v>0</v>
      </c>
      <c r="T222" t="str">
        <f>IF('14 Detailed Results'!R24="","",'14 Detailed Results'!R24)</f>
        <v>Service user</v>
      </c>
      <c r="U222" t="str">
        <f>IF('14 Detailed Results'!S24="","",'14 Detailed Results'!S24)</f>
        <v/>
      </c>
    </row>
    <row r="223" spans="1:21">
      <c r="A223" s="3">
        <f>'02 Hospice Setup'!$B$5</f>
        <v>0</v>
      </c>
      <c r="B223" s="3" t="str">
        <f>'02 Hospice Setup'!$H$5</f>
        <v>Version 5.1</v>
      </c>
      <c r="C223" s="3" t="str">
        <f>'02 Hospice Setup'!$E$6</f>
        <v>Actual</v>
      </c>
      <c r="D223" s="18">
        <f>'02 Hospice Setup'!$H$7</f>
        <v>0</v>
      </c>
      <c r="E223" s="3" t="s">
        <v>146</v>
      </c>
      <c r="F223" s="3" t="s">
        <v>155</v>
      </c>
      <c r="G223" s="3" t="s">
        <v>121</v>
      </c>
      <c r="H223" s="3" t="s">
        <v>708</v>
      </c>
      <c r="I223" s="19">
        <f>SUMIF('14 Detailed Results'!$A$5:$A$35,F223,'14 Detailed Results'!$L$5:$L$35)</f>
        <v>0</v>
      </c>
      <c r="J223" s="3" t="s">
        <v>427</v>
      </c>
      <c r="K223" s="3"/>
      <c r="L223" s="3"/>
      <c r="M223" s="3"/>
      <c r="N223" s="3" t="str">
        <f>IF(SUMIF('14 Detailed Results'!$A$5:$A$35,F223,'14 Detailed Results'!$F$5:$F$35)=0,"Not provided",IF(I223=0,"Not available","Complete"))</f>
        <v>Not provided</v>
      </c>
      <c r="O223" s="3" t="s">
        <v>709</v>
      </c>
      <c r="P223" s="3" t="s">
        <v>43</v>
      </c>
      <c r="Q223">
        <f>IF('14 Detailed Results'!O24="","",'14 Detailed Results'!O24)</f>
        <v>0</v>
      </c>
      <c r="R223">
        <f>IF('14 Detailed Results'!P24="","",'14 Detailed Results'!P24)</f>
        <v>0</v>
      </c>
      <c r="S223">
        <f>IF('14 Detailed Results'!Q24="","",'14 Detailed Results'!Q24)</f>
        <v>0</v>
      </c>
      <c r="T223" t="str">
        <f>IF('14 Detailed Results'!R24="","",'14 Detailed Results'!R24)</f>
        <v>Service user</v>
      </c>
      <c r="U223" t="str">
        <f>IF('14 Detailed Results'!S24="","",'14 Detailed Results'!S24)</f>
        <v/>
      </c>
    </row>
    <row r="224" spans="1:21">
      <c r="A224" s="3">
        <f>'02 Hospice Setup'!$B$5</f>
        <v>0</v>
      </c>
      <c r="B224" s="3" t="str">
        <f>'02 Hospice Setup'!$H$5</f>
        <v>Version 5.1</v>
      </c>
      <c r="C224" s="3" t="str">
        <f>'02 Hospice Setup'!$E$6</f>
        <v>Actual</v>
      </c>
      <c r="D224" s="18">
        <f>'02 Hospice Setup'!$H$7</f>
        <v>0</v>
      </c>
      <c r="E224" s="3" t="s">
        <v>146</v>
      </c>
      <c r="F224" s="3" t="s">
        <v>155</v>
      </c>
      <c r="G224" s="3" t="s">
        <v>121</v>
      </c>
      <c r="H224" s="3" t="s">
        <v>710</v>
      </c>
      <c r="I224" s="19">
        <f>SUMIF('14 Detailed Results'!$A$5:$A$35,F224,'14 Detailed Results'!$M$5:$M$35)</f>
        <v>0</v>
      </c>
      <c r="J224" s="3" t="s">
        <v>61</v>
      </c>
      <c r="K224" s="3"/>
      <c r="L224" s="3"/>
      <c r="M224" s="3"/>
      <c r="N224" s="3" t="str">
        <f>IF(SUMIF('14 Detailed Results'!$A$5:$A$35,F224,'14 Detailed Results'!$F$5:$F$35)=0,"Not provided",IF(I224=0,"Not available","Complete"))</f>
        <v>Not provided</v>
      </c>
      <c r="O224" s="3"/>
      <c r="P224" s="3" t="s">
        <v>43</v>
      </c>
      <c r="Q224">
        <f>IF('14 Detailed Results'!O24="","",'14 Detailed Results'!O24)</f>
        <v>0</v>
      </c>
      <c r="R224">
        <f>IF('14 Detailed Results'!P24="","",'14 Detailed Results'!P24)</f>
        <v>0</v>
      </c>
      <c r="S224">
        <f>IF('14 Detailed Results'!Q24="","",'14 Detailed Results'!Q24)</f>
        <v>0</v>
      </c>
      <c r="T224" t="str">
        <f>IF('14 Detailed Results'!R24="","",'14 Detailed Results'!R24)</f>
        <v>Service user</v>
      </c>
      <c r="U224" t="str">
        <f>IF('14 Detailed Results'!S24="","",'14 Detailed Results'!S24)</f>
        <v/>
      </c>
    </row>
    <row r="225" spans="1:21">
      <c r="A225" s="3">
        <f>'02 Hospice Setup'!$B$5</f>
        <v>0</v>
      </c>
      <c r="B225" s="3" t="str">
        <f>'02 Hospice Setup'!$H$5</f>
        <v>Version 5.1</v>
      </c>
      <c r="C225" s="3" t="str">
        <f>'02 Hospice Setup'!$E$6</f>
        <v>Actual</v>
      </c>
      <c r="D225" s="18">
        <f>'02 Hospice Setup'!$H$7</f>
        <v>0</v>
      </c>
      <c r="E225" s="3" t="s">
        <v>146</v>
      </c>
      <c r="F225" s="3" t="s">
        <v>156</v>
      </c>
      <c r="G225" s="3" t="s">
        <v>157</v>
      </c>
      <c r="H225" s="3" t="s">
        <v>559</v>
      </c>
      <c r="I225" s="19">
        <f>SUMIF('14 Detailed Results'!$A$5:$A$35,F225,'14 Detailed Results'!$C$5:$C$35)</f>
        <v>0</v>
      </c>
      <c r="J225" s="3" t="s">
        <v>61</v>
      </c>
      <c r="K225" s="3"/>
      <c r="L225" s="3"/>
      <c r="M225" s="3"/>
      <c r="N225" s="3" t="str">
        <f t="shared" ref="N225:N233" si="20">IF(I225=0,"Not provided","Complete")</f>
        <v>Not provided</v>
      </c>
      <c r="O225" s="3"/>
      <c r="P225" s="3" t="s">
        <v>43</v>
      </c>
      <c r="Q225">
        <f>IF('14 Detailed Results'!O25="","",'14 Detailed Results'!O25)</f>
        <v>0</v>
      </c>
      <c r="R225">
        <f>IF('14 Detailed Results'!P25="","",'14 Detailed Results'!P25)</f>
        <v>0</v>
      </c>
      <c r="S225">
        <f>IF('14 Detailed Results'!Q25="","",'14 Detailed Results'!Q25)</f>
        <v>0</v>
      </c>
      <c r="T225" t="str">
        <f>IF('14 Detailed Results'!R25="","",'14 Detailed Results'!R25)</f>
        <v>Service user</v>
      </c>
      <c r="U225" t="str">
        <f>IF('14 Detailed Results'!S25="","",'14 Detailed Results'!S25)</f>
        <v/>
      </c>
    </row>
    <row r="226" spans="1:21">
      <c r="A226" s="3">
        <f>'02 Hospice Setup'!$B$5</f>
        <v>0</v>
      </c>
      <c r="B226" s="3" t="str">
        <f>'02 Hospice Setup'!$H$5</f>
        <v>Version 5.1</v>
      </c>
      <c r="C226" s="3" t="str">
        <f>'02 Hospice Setup'!$E$6</f>
        <v>Actual</v>
      </c>
      <c r="D226" s="18">
        <f>'02 Hospice Setup'!$H$7</f>
        <v>0</v>
      </c>
      <c r="E226" s="3" t="s">
        <v>146</v>
      </c>
      <c r="F226" s="3" t="s">
        <v>156</v>
      </c>
      <c r="G226" s="3" t="s">
        <v>157</v>
      </c>
      <c r="H226" s="3" t="s">
        <v>560</v>
      </c>
      <c r="I226" s="19">
        <f>SUMIF('14 Detailed Results'!$A$5:$A$35,F226,'14 Detailed Results'!$D$5:$D$35)</f>
        <v>0</v>
      </c>
      <c r="J226" s="3" t="s">
        <v>61</v>
      </c>
      <c r="K226" s="3"/>
      <c r="L226" s="3"/>
      <c r="M226" s="3"/>
      <c r="N226" s="3" t="str">
        <f t="shared" si="20"/>
        <v>Not provided</v>
      </c>
      <c r="O226" s="3"/>
      <c r="P226" s="3" t="s">
        <v>43</v>
      </c>
      <c r="Q226">
        <f>IF('14 Detailed Results'!O25="","",'14 Detailed Results'!O25)</f>
        <v>0</v>
      </c>
      <c r="R226">
        <f>IF('14 Detailed Results'!P25="","",'14 Detailed Results'!P25)</f>
        <v>0</v>
      </c>
      <c r="S226">
        <f>IF('14 Detailed Results'!Q25="","",'14 Detailed Results'!Q25)</f>
        <v>0</v>
      </c>
      <c r="T226" t="str">
        <f>IF('14 Detailed Results'!R25="","",'14 Detailed Results'!R25)</f>
        <v>Service user</v>
      </c>
      <c r="U226" t="str">
        <f>IF('14 Detailed Results'!S25="","",'14 Detailed Results'!S25)</f>
        <v/>
      </c>
    </row>
    <row r="227" spans="1:21">
      <c r="A227" s="3">
        <f>'02 Hospice Setup'!$B$5</f>
        <v>0</v>
      </c>
      <c r="B227" s="3" t="str">
        <f>'02 Hospice Setup'!$H$5</f>
        <v>Version 5.1</v>
      </c>
      <c r="C227" s="3" t="str">
        <f>'02 Hospice Setup'!$E$6</f>
        <v>Actual</v>
      </c>
      <c r="D227" s="18">
        <f>'02 Hospice Setup'!$H$7</f>
        <v>0</v>
      </c>
      <c r="E227" s="3" t="s">
        <v>146</v>
      </c>
      <c r="F227" s="3" t="s">
        <v>156</v>
      </c>
      <c r="G227" s="3" t="s">
        <v>157</v>
      </c>
      <c r="H227" s="3" t="s">
        <v>570</v>
      </c>
      <c r="I227" s="19">
        <f>SUMIF('14 Detailed Results'!$A$5:$A$35,F227,'14 Detailed Results'!$E$5:$E$35)</f>
        <v>0</v>
      </c>
      <c r="J227" s="3" t="s">
        <v>61</v>
      </c>
      <c r="K227" s="3"/>
      <c r="L227" s="3"/>
      <c r="M227" s="3"/>
      <c r="N227" s="3" t="str">
        <f t="shared" si="20"/>
        <v>Not provided</v>
      </c>
      <c r="O227" s="3"/>
      <c r="P227" s="3" t="s">
        <v>43</v>
      </c>
      <c r="Q227">
        <f>IF('14 Detailed Results'!O25="","",'14 Detailed Results'!O25)</f>
        <v>0</v>
      </c>
      <c r="R227">
        <f>IF('14 Detailed Results'!P25="","",'14 Detailed Results'!P25)</f>
        <v>0</v>
      </c>
      <c r="S227">
        <f>IF('14 Detailed Results'!Q25="","",'14 Detailed Results'!Q25)</f>
        <v>0</v>
      </c>
      <c r="T227" t="str">
        <f>IF('14 Detailed Results'!R25="","",'14 Detailed Results'!R25)</f>
        <v>Service user</v>
      </c>
      <c r="U227" t="str">
        <f>IF('14 Detailed Results'!S25="","",'14 Detailed Results'!S25)</f>
        <v/>
      </c>
    </row>
    <row r="228" spans="1:21">
      <c r="A228" s="3">
        <f>'02 Hospice Setup'!$B$5</f>
        <v>0</v>
      </c>
      <c r="B228" s="3" t="str">
        <f>'02 Hospice Setup'!$H$5</f>
        <v>Version 5.1</v>
      </c>
      <c r="C228" s="3" t="str">
        <f>'02 Hospice Setup'!$E$6</f>
        <v>Actual</v>
      </c>
      <c r="D228" s="18">
        <f>'02 Hospice Setup'!$H$7</f>
        <v>0</v>
      </c>
      <c r="E228" s="3" t="s">
        <v>146</v>
      </c>
      <c r="F228" s="3" t="s">
        <v>156</v>
      </c>
      <c r="G228" s="3" t="s">
        <v>157</v>
      </c>
      <c r="H228" s="3" t="s">
        <v>561</v>
      </c>
      <c r="I228" s="19">
        <f>SUMIF('14 Detailed Results'!$A$5:$A$35,F228,'14 Detailed Results'!$F$5:$F$35)</f>
        <v>0</v>
      </c>
      <c r="J228" s="3" t="s">
        <v>61</v>
      </c>
      <c r="K228" s="3"/>
      <c r="L228" s="3"/>
      <c r="M228" s="3"/>
      <c r="N228" s="3" t="str">
        <f t="shared" si="20"/>
        <v>Not provided</v>
      </c>
      <c r="O228" s="3"/>
      <c r="P228" s="3" t="s">
        <v>43</v>
      </c>
      <c r="Q228">
        <f>IF('14 Detailed Results'!O25="","",'14 Detailed Results'!O25)</f>
        <v>0</v>
      </c>
      <c r="R228">
        <f>IF('14 Detailed Results'!P25="","",'14 Detailed Results'!P25)</f>
        <v>0</v>
      </c>
      <c r="S228">
        <f>IF('14 Detailed Results'!Q25="","",'14 Detailed Results'!Q25)</f>
        <v>0</v>
      </c>
      <c r="T228" t="str">
        <f>IF('14 Detailed Results'!R25="","",'14 Detailed Results'!R25)</f>
        <v>Service user</v>
      </c>
      <c r="U228" t="str">
        <f>IF('14 Detailed Results'!S25="","",'14 Detailed Results'!S25)</f>
        <v/>
      </c>
    </row>
    <row r="229" spans="1:21">
      <c r="A229" s="3">
        <f>'02 Hospice Setup'!$B$5</f>
        <v>0</v>
      </c>
      <c r="B229" s="3" t="str">
        <f>'02 Hospice Setup'!$H$5</f>
        <v>Version 5.1</v>
      </c>
      <c r="C229" s="3" t="str">
        <f>'02 Hospice Setup'!$E$6</f>
        <v>Actual</v>
      </c>
      <c r="D229" s="18">
        <f>'02 Hospice Setup'!$H$7</f>
        <v>0</v>
      </c>
      <c r="E229" s="3" t="s">
        <v>146</v>
      </c>
      <c r="F229" s="3" t="s">
        <v>156</v>
      </c>
      <c r="G229" s="3" t="s">
        <v>157</v>
      </c>
      <c r="H229" s="3" t="s">
        <v>382</v>
      </c>
      <c r="I229" s="19">
        <f>SUMIF('14 Detailed Results'!$A$5:$A$35,F229,'14 Detailed Results'!$G$5:$G$35)</f>
        <v>0</v>
      </c>
      <c r="J229" s="3" t="s">
        <v>392</v>
      </c>
      <c r="K229" s="3"/>
      <c r="L229" s="3"/>
      <c r="M229" s="3"/>
      <c r="N229" s="3" t="str">
        <f t="shared" si="20"/>
        <v>Not provided</v>
      </c>
      <c r="O229" s="3"/>
      <c r="P229" s="3" t="s">
        <v>43</v>
      </c>
      <c r="Q229">
        <f>IF('14 Detailed Results'!O25="","",'14 Detailed Results'!O25)</f>
        <v>0</v>
      </c>
      <c r="R229">
        <f>IF('14 Detailed Results'!P25="","",'14 Detailed Results'!P25)</f>
        <v>0</v>
      </c>
      <c r="S229">
        <f>IF('14 Detailed Results'!Q25="","",'14 Detailed Results'!Q25)</f>
        <v>0</v>
      </c>
      <c r="T229" t="str">
        <f>IF('14 Detailed Results'!R25="","",'14 Detailed Results'!R25)</f>
        <v>Service user</v>
      </c>
      <c r="U229" t="str">
        <f>IF('14 Detailed Results'!S25="","",'14 Detailed Results'!S25)</f>
        <v/>
      </c>
    </row>
    <row r="230" spans="1:21">
      <c r="A230" s="3">
        <f>'02 Hospice Setup'!$B$5</f>
        <v>0</v>
      </c>
      <c r="B230" s="3" t="str">
        <f>'02 Hospice Setup'!$H$5</f>
        <v>Version 5.1</v>
      </c>
      <c r="C230" s="3" t="str">
        <f>'02 Hospice Setup'!$E$6</f>
        <v>Actual</v>
      </c>
      <c r="D230" s="18">
        <f>'02 Hospice Setup'!$H$7</f>
        <v>0</v>
      </c>
      <c r="E230" s="3" t="s">
        <v>146</v>
      </c>
      <c r="F230" s="3" t="s">
        <v>156</v>
      </c>
      <c r="G230" s="3" t="s">
        <v>157</v>
      </c>
      <c r="H230" s="3" t="s">
        <v>386</v>
      </c>
      <c r="I230" s="19">
        <f>SUMIF('14 Detailed Results'!$A$5:$A$35,F230,'14 Detailed Results'!$H$5:$H$35)</f>
        <v>0</v>
      </c>
      <c r="J230" s="3" t="s">
        <v>392</v>
      </c>
      <c r="K230" s="3"/>
      <c r="L230" s="3"/>
      <c r="M230" s="3"/>
      <c r="N230" s="3" t="str">
        <f t="shared" si="20"/>
        <v>Not provided</v>
      </c>
      <c r="O230" s="3"/>
      <c r="P230" s="3" t="s">
        <v>43</v>
      </c>
      <c r="Q230">
        <f>IF('14 Detailed Results'!O25="","",'14 Detailed Results'!O25)</f>
        <v>0</v>
      </c>
      <c r="R230">
        <f>IF('14 Detailed Results'!P25="","",'14 Detailed Results'!P25)</f>
        <v>0</v>
      </c>
      <c r="S230">
        <f>IF('14 Detailed Results'!Q25="","",'14 Detailed Results'!Q25)</f>
        <v>0</v>
      </c>
      <c r="T230" t="str">
        <f>IF('14 Detailed Results'!R25="","",'14 Detailed Results'!R25)</f>
        <v>Service user</v>
      </c>
      <c r="U230" t="str">
        <f>IF('14 Detailed Results'!S25="","",'14 Detailed Results'!S25)</f>
        <v/>
      </c>
    </row>
    <row r="231" spans="1:21">
      <c r="A231" s="3">
        <f>'02 Hospice Setup'!$B$5</f>
        <v>0</v>
      </c>
      <c r="B231" s="3" t="str">
        <f>'02 Hospice Setup'!$H$5</f>
        <v>Version 5.1</v>
      </c>
      <c r="C231" s="3" t="str">
        <f>'02 Hospice Setup'!$E$6</f>
        <v>Actual</v>
      </c>
      <c r="D231" s="18">
        <f>'02 Hospice Setup'!$H$7</f>
        <v>0</v>
      </c>
      <c r="E231" s="3" t="s">
        <v>146</v>
      </c>
      <c r="F231" s="3" t="s">
        <v>156</v>
      </c>
      <c r="G231" s="3" t="s">
        <v>157</v>
      </c>
      <c r="H231" s="3" t="s">
        <v>704</v>
      </c>
      <c r="I231" s="19">
        <f>SUMIF('14 Detailed Results'!$A$5:$A$35,F231,'14 Detailed Results'!$I$5:$I$35)</f>
        <v>0</v>
      </c>
      <c r="J231" s="3" t="s">
        <v>61</v>
      </c>
      <c r="K231" s="3"/>
      <c r="L231" s="3"/>
      <c r="M231" s="3"/>
      <c r="N231" s="3" t="str">
        <f t="shared" si="20"/>
        <v>Not provided</v>
      </c>
      <c r="O231" s="3"/>
      <c r="P231" s="3" t="s">
        <v>43</v>
      </c>
      <c r="Q231">
        <f>IF('14 Detailed Results'!O25="","",'14 Detailed Results'!O25)</f>
        <v>0</v>
      </c>
      <c r="R231">
        <f>IF('14 Detailed Results'!P25="","",'14 Detailed Results'!P25)</f>
        <v>0</v>
      </c>
      <c r="S231">
        <f>IF('14 Detailed Results'!Q25="","",'14 Detailed Results'!Q25)</f>
        <v>0</v>
      </c>
      <c r="T231" t="str">
        <f>IF('14 Detailed Results'!R25="","",'14 Detailed Results'!R25)</f>
        <v>Service user</v>
      </c>
      <c r="U231" t="str">
        <f>IF('14 Detailed Results'!S25="","",'14 Detailed Results'!S25)</f>
        <v/>
      </c>
    </row>
    <row r="232" spans="1:21">
      <c r="A232" s="3">
        <f>'02 Hospice Setup'!$B$5</f>
        <v>0</v>
      </c>
      <c r="B232" s="3" t="str">
        <f>'02 Hospice Setup'!$H$5</f>
        <v>Version 5.1</v>
      </c>
      <c r="C232" s="3" t="str">
        <f>'02 Hospice Setup'!$E$6</f>
        <v>Actual</v>
      </c>
      <c r="D232" s="18">
        <f>'02 Hospice Setup'!$H$7</f>
        <v>0</v>
      </c>
      <c r="E232" s="3" t="s">
        <v>146</v>
      </c>
      <c r="F232" s="3" t="s">
        <v>156</v>
      </c>
      <c r="G232" s="3" t="s">
        <v>157</v>
      </c>
      <c r="H232" s="3" t="s">
        <v>705</v>
      </c>
      <c r="I232" s="19">
        <f>SUMIF('14 Detailed Results'!$A$5:$A$35,F232,'14 Detailed Results'!$J$5:$J$35)</f>
        <v>0</v>
      </c>
      <c r="J232" s="3" t="s">
        <v>61</v>
      </c>
      <c r="K232" s="3"/>
      <c r="L232" s="3"/>
      <c r="M232" s="3"/>
      <c r="N232" s="3" t="str">
        <f t="shared" si="20"/>
        <v>Not provided</v>
      </c>
      <c r="O232" s="3"/>
      <c r="P232" s="3" t="s">
        <v>43</v>
      </c>
      <c r="Q232">
        <f>IF('14 Detailed Results'!O25="","",'14 Detailed Results'!O25)</f>
        <v>0</v>
      </c>
      <c r="R232">
        <f>IF('14 Detailed Results'!P25="","",'14 Detailed Results'!P25)</f>
        <v>0</v>
      </c>
      <c r="S232">
        <f>IF('14 Detailed Results'!Q25="","",'14 Detailed Results'!Q25)</f>
        <v>0</v>
      </c>
      <c r="T232" t="str">
        <f>IF('14 Detailed Results'!R25="","",'14 Detailed Results'!R25)</f>
        <v>Service user</v>
      </c>
      <c r="U232" t="str">
        <f>IF('14 Detailed Results'!S25="","",'14 Detailed Results'!S25)</f>
        <v/>
      </c>
    </row>
    <row r="233" spans="1:21">
      <c r="A233" s="3">
        <f>'02 Hospice Setup'!$B$5</f>
        <v>0</v>
      </c>
      <c r="B233" s="3" t="str">
        <f>'02 Hospice Setup'!$H$5</f>
        <v>Version 5.1</v>
      </c>
      <c r="C233" s="3" t="str">
        <f>'02 Hospice Setup'!$E$6</f>
        <v>Actual</v>
      </c>
      <c r="D233" s="18">
        <f>'02 Hospice Setup'!$H$7</f>
        <v>0</v>
      </c>
      <c r="E233" s="3" t="s">
        <v>146</v>
      </c>
      <c r="F233" s="3" t="s">
        <v>156</v>
      </c>
      <c r="G233" s="3" t="s">
        <v>157</v>
      </c>
      <c r="H233" s="3" t="s">
        <v>564</v>
      </c>
      <c r="I233" s="19">
        <f>SUMIF('14 Detailed Results'!$A$5:$A$35,F233,'14 Detailed Results'!$K$5:$K$35)</f>
        <v>0</v>
      </c>
      <c r="J233" s="3" t="s">
        <v>706</v>
      </c>
      <c r="K233" s="3"/>
      <c r="L233" s="3"/>
      <c r="M233" s="3"/>
      <c r="N233" s="3" t="str">
        <f t="shared" si="20"/>
        <v>Not provided</v>
      </c>
      <c r="O233" s="3"/>
      <c r="P233" s="3" t="s">
        <v>43</v>
      </c>
      <c r="Q233">
        <f>IF('14 Detailed Results'!O25="","",'14 Detailed Results'!O25)</f>
        <v>0</v>
      </c>
      <c r="R233">
        <f>IF('14 Detailed Results'!P25="","",'14 Detailed Results'!P25)</f>
        <v>0</v>
      </c>
      <c r="S233">
        <f>IF('14 Detailed Results'!Q25="","",'14 Detailed Results'!Q25)</f>
        <v>0</v>
      </c>
      <c r="T233" t="str">
        <f>IF('14 Detailed Results'!R25="","",'14 Detailed Results'!R25)</f>
        <v>Service user</v>
      </c>
      <c r="U233" t="str">
        <f>IF('14 Detailed Results'!S25="","",'14 Detailed Results'!S25)</f>
        <v/>
      </c>
    </row>
    <row r="234" spans="1:21">
      <c r="A234" s="3">
        <f>'02 Hospice Setup'!$B$5</f>
        <v>0</v>
      </c>
      <c r="B234" s="3" t="str">
        <f>'02 Hospice Setup'!$H$5</f>
        <v>Version 5.1</v>
      </c>
      <c r="C234" s="3" t="str">
        <f>'02 Hospice Setup'!$E$6</f>
        <v>Actual</v>
      </c>
      <c r="D234" s="18">
        <f>'02 Hospice Setup'!$H$7</f>
        <v>0</v>
      </c>
      <c r="E234" s="3" t="s">
        <v>146</v>
      </c>
      <c r="F234" s="3" t="s">
        <v>156</v>
      </c>
      <c r="G234" s="3" t="s">
        <v>157</v>
      </c>
      <c r="H234" s="3" t="s">
        <v>708</v>
      </c>
      <c r="I234" s="19">
        <f>SUMIF('14 Detailed Results'!$A$5:$A$35,F234,'14 Detailed Results'!$L$5:$L$35)</f>
        <v>0</v>
      </c>
      <c r="J234" s="3" t="s">
        <v>427</v>
      </c>
      <c r="K234" s="3"/>
      <c r="L234" s="3"/>
      <c r="M234" s="3"/>
      <c r="N234" s="3" t="str">
        <f>IF(SUMIF('14 Detailed Results'!$A$5:$A$35,F234,'14 Detailed Results'!$F$5:$F$35)=0,"Not provided",IF(I234=0,"Not available","Complete"))</f>
        <v>Not provided</v>
      </c>
      <c r="O234" s="3" t="s">
        <v>709</v>
      </c>
      <c r="P234" s="3" t="s">
        <v>43</v>
      </c>
      <c r="Q234">
        <f>IF('14 Detailed Results'!O25="","",'14 Detailed Results'!O25)</f>
        <v>0</v>
      </c>
      <c r="R234">
        <f>IF('14 Detailed Results'!P25="","",'14 Detailed Results'!P25)</f>
        <v>0</v>
      </c>
      <c r="S234">
        <f>IF('14 Detailed Results'!Q25="","",'14 Detailed Results'!Q25)</f>
        <v>0</v>
      </c>
      <c r="T234" t="str">
        <f>IF('14 Detailed Results'!R25="","",'14 Detailed Results'!R25)</f>
        <v>Service user</v>
      </c>
      <c r="U234" t="str">
        <f>IF('14 Detailed Results'!S25="","",'14 Detailed Results'!S25)</f>
        <v/>
      </c>
    </row>
    <row r="235" spans="1:21">
      <c r="A235" s="3">
        <f>'02 Hospice Setup'!$B$5</f>
        <v>0</v>
      </c>
      <c r="B235" s="3" t="str">
        <f>'02 Hospice Setup'!$H$5</f>
        <v>Version 5.1</v>
      </c>
      <c r="C235" s="3" t="str">
        <f>'02 Hospice Setup'!$E$6</f>
        <v>Actual</v>
      </c>
      <c r="D235" s="18">
        <f>'02 Hospice Setup'!$H$7</f>
        <v>0</v>
      </c>
      <c r="E235" s="3" t="s">
        <v>146</v>
      </c>
      <c r="F235" s="3" t="s">
        <v>156</v>
      </c>
      <c r="G235" s="3" t="s">
        <v>157</v>
      </c>
      <c r="H235" s="3" t="s">
        <v>710</v>
      </c>
      <c r="I235" s="19">
        <f>SUMIF('14 Detailed Results'!$A$5:$A$35,F235,'14 Detailed Results'!$M$5:$M$35)</f>
        <v>0</v>
      </c>
      <c r="J235" s="3" t="s">
        <v>61</v>
      </c>
      <c r="K235" s="3"/>
      <c r="L235" s="3"/>
      <c r="M235" s="3"/>
      <c r="N235" s="3" t="str">
        <f>IF(SUMIF('14 Detailed Results'!$A$5:$A$35,F235,'14 Detailed Results'!$F$5:$F$35)=0,"Not provided",IF(I235=0,"Not available","Complete"))</f>
        <v>Not provided</v>
      </c>
      <c r="O235" s="3"/>
      <c r="P235" s="3" t="s">
        <v>43</v>
      </c>
      <c r="Q235">
        <f>IF('14 Detailed Results'!O25="","",'14 Detailed Results'!O25)</f>
        <v>0</v>
      </c>
      <c r="R235">
        <f>IF('14 Detailed Results'!P25="","",'14 Detailed Results'!P25)</f>
        <v>0</v>
      </c>
      <c r="S235">
        <f>IF('14 Detailed Results'!Q25="","",'14 Detailed Results'!Q25)</f>
        <v>0</v>
      </c>
      <c r="T235" t="str">
        <f>IF('14 Detailed Results'!R25="","",'14 Detailed Results'!R25)</f>
        <v>Service user</v>
      </c>
      <c r="U235" t="str">
        <f>IF('14 Detailed Results'!S25="","",'14 Detailed Results'!S25)</f>
        <v/>
      </c>
    </row>
    <row r="236" spans="1:21">
      <c r="A236" s="3">
        <f>'02 Hospice Setup'!$B$5</f>
        <v>0</v>
      </c>
      <c r="B236" s="3" t="str">
        <f>'02 Hospice Setup'!$H$5</f>
        <v>Version 5.1</v>
      </c>
      <c r="C236" s="3" t="str">
        <f>'02 Hospice Setup'!$E$6</f>
        <v>Actual</v>
      </c>
      <c r="D236" s="18">
        <f>'02 Hospice Setup'!$H$7</f>
        <v>0</v>
      </c>
      <c r="E236" s="3" t="s">
        <v>146</v>
      </c>
      <c r="F236" s="3" t="s">
        <v>158</v>
      </c>
      <c r="G236" s="3" t="s">
        <v>159</v>
      </c>
      <c r="H236" s="3" t="s">
        <v>559</v>
      </c>
      <c r="I236" s="19">
        <f>SUMIF('14 Detailed Results'!$A$5:$A$35,F236,'14 Detailed Results'!$C$5:$C$35)</f>
        <v>0</v>
      </c>
      <c r="J236" s="3" t="s">
        <v>61</v>
      </c>
      <c r="K236" s="3"/>
      <c r="L236" s="3"/>
      <c r="M236" s="3"/>
      <c r="N236" s="3" t="str">
        <f t="shared" ref="N236:N244" si="21">IF(I236=0,"Not provided","Complete")</f>
        <v>Not provided</v>
      </c>
      <c r="O236" s="3"/>
      <c r="P236" s="3" t="s">
        <v>43</v>
      </c>
      <c r="Q236">
        <f>IF('14 Detailed Results'!O26="","",'14 Detailed Results'!O26)</f>
        <v>0</v>
      </c>
      <c r="R236">
        <f>IF('14 Detailed Results'!P26="","",'14 Detailed Results'!P26)</f>
        <v>0</v>
      </c>
      <c r="S236">
        <f>IF('14 Detailed Results'!Q26="","",'14 Detailed Results'!Q26)</f>
        <v>0</v>
      </c>
      <c r="T236" t="str">
        <f>IF('14 Detailed Results'!R26="","",'14 Detailed Results'!R26)</f>
        <v>Service user</v>
      </c>
      <c r="U236" t="str">
        <f>IF('14 Detailed Results'!S26="","",'14 Detailed Results'!S26)</f>
        <v/>
      </c>
    </row>
    <row r="237" spans="1:21">
      <c r="A237" s="3">
        <f>'02 Hospice Setup'!$B$5</f>
        <v>0</v>
      </c>
      <c r="B237" s="3" t="str">
        <f>'02 Hospice Setup'!$H$5</f>
        <v>Version 5.1</v>
      </c>
      <c r="C237" s="3" t="str">
        <f>'02 Hospice Setup'!$E$6</f>
        <v>Actual</v>
      </c>
      <c r="D237" s="18">
        <f>'02 Hospice Setup'!$H$7</f>
        <v>0</v>
      </c>
      <c r="E237" s="3" t="s">
        <v>146</v>
      </c>
      <c r="F237" s="3" t="s">
        <v>158</v>
      </c>
      <c r="G237" s="3" t="s">
        <v>159</v>
      </c>
      <c r="H237" s="3" t="s">
        <v>560</v>
      </c>
      <c r="I237" s="19">
        <f>SUMIF('14 Detailed Results'!$A$5:$A$35,F237,'14 Detailed Results'!$D$5:$D$35)</f>
        <v>0</v>
      </c>
      <c r="J237" s="3" t="s">
        <v>61</v>
      </c>
      <c r="K237" s="3"/>
      <c r="L237" s="3"/>
      <c r="M237" s="3"/>
      <c r="N237" s="3" t="str">
        <f t="shared" si="21"/>
        <v>Not provided</v>
      </c>
      <c r="O237" s="3"/>
      <c r="P237" s="3" t="s">
        <v>43</v>
      </c>
      <c r="Q237">
        <f>IF('14 Detailed Results'!O26="","",'14 Detailed Results'!O26)</f>
        <v>0</v>
      </c>
      <c r="R237">
        <f>IF('14 Detailed Results'!P26="","",'14 Detailed Results'!P26)</f>
        <v>0</v>
      </c>
      <c r="S237">
        <f>IF('14 Detailed Results'!Q26="","",'14 Detailed Results'!Q26)</f>
        <v>0</v>
      </c>
      <c r="T237" t="str">
        <f>IF('14 Detailed Results'!R26="","",'14 Detailed Results'!R26)</f>
        <v>Service user</v>
      </c>
      <c r="U237" t="str">
        <f>IF('14 Detailed Results'!S26="","",'14 Detailed Results'!S26)</f>
        <v/>
      </c>
    </row>
    <row r="238" spans="1:21">
      <c r="A238" s="3">
        <f>'02 Hospice Setup'!$B$5</f>
        <v>0</v>
      </c>
      <c r="B238" s="3" t="str">
        <f>'02 Hospice Setup'!$H$5</f>
        <v>Version 5.1</v>
      </c>
      <c r="C238" s="3" t="str">
        <f>'02 Hospice Setup'!$E$6</f>
        <v>Actual</v>
      </c>
      <c r="D238" s="18">
        <f>'02 Hospice Setup'!$H$7</f>
        <v>0</v>
      </c>
      <c r="E238" s="3" t="s">
        <v>146</v>
      </c>
      <c r="F238" s="3" t="s">
        <v>158</v>
      </c>
      <c r="G238" s="3" t="s">
        <v>159</v>
      </c>
      <c r="H238" s="3" t="s">
        <v>570</v>
      </c>
      <c r="I238" s="19">
        <f>SUMIF('14 Detailed Results'!$A$5:$A$35,F238,'14 Detailed Results'!$E$5:$E$35)</f>
        <v>0</v>
      </c>
      <c r="J238" s="3" t="s">
        <v>61</v>
      </c>
      <c r="K238" s="3"/>
      <c r="L238" s="3"/>
      <c r="M238" s="3"/>
      <c r="N238" s="3" t="str">
        <f t="shared" si="21"/>
        <v>Not provided</v>
      </c>
      <c r="O238" s="3"/>
      <c r="P238" s="3" t="s">
        <v>43</v>
      </c>
      <c r="Q238">
        <f>IF('14 Detailed Results'!O26="","",'14 Detailed Results'!O26)</f>
        <v>0</v>
      </c>
      <c r="R238">
        <f>IF('14 Detailed Results'!P26="","",'14 Detailed Results'!P26)</f>
        <v>0</v>
      </c>
      <c r="S238">
        <f>IF('14 Detailed Results'!Q26="","",'14 Detailed Results'!Q26)</f>
        <v>0</v>
      </c>
      <c r="T238" t="str">
        <f>IF('14 Detailed Results'!R26="","",'14 Detailed Results'!R26)</f>
        <v>Service user</v>
      </c>
      <c r="U238" t="str">
        <f>IF('14 Detailed Results'!S26="","",'14 Detailed Results'!S26)</f>
        <v/>
      </c>
    </row>
    <row r="239" spans="1:21">
      <c r="A239" s="3">
        <f>'02 Hospice Setup'!$B$5</f>
        <v>0</v>
      </c>
      <c r="B239" s="3" t="str">
        <f>'02 Hospice Setup'!$H$5</f>
        <v>Version 5.1</v>
      </c>
      <c r="C239" s="3" t="str">
        <f>'02 Hospice Setup'!$E$6</f>
        <v>Actual</v>
      </c>
      <c r="D239" s="18">
        <f>'02 Hospice Setup'!$H$7</f>
        <v>0</v>
      </c>
      <c r="E239" s="3" t="s">
        <v>146</v>
      </c>
      <c r="F239" s="3" t="s">
        <v>158</v>
      </c>
      <c r="G239" s="3" t="s">
        <v>159</v>
      </c>
      <c r="H239" s="3" t="s">
        <v>561</v>
      </c>
      <c r="I239" s="19">
        <f>SUMIF('14 Detailed Results'!$A$5:$A$35,F239,'14 Detailed Results'!$F$5:$F$35)</f>
        <v>0</v>
      </c>
      <c r="J239" s="3" t="s">
        <v>61</v>
      </c>
      <c r="K239" s="3"/>
      <c r="L239" s="3"/>
      <c r="M239" s="3"/>
      <c r="N239" s="3" t="str">
        <f t="shared" si="21"/>
        <v>Not provided</v>
      </c>
      <c r="O239" s="3"/>
      <c r="P239" s="3" t="s">
        <v>43</v>
      </c>
      <c r="Q239">
        <f>IF('14 Detailed Results'!O26="","",'14 Detailed Results'!O26)</f>
        <v>0</v>
      </c>
      <c r="R239">
        <f>IF('14 Detailed Results'!P26="","",'14 Detailed Results'!P26)</f>
        <v>0</v>
      </c>
      <c r="S239">
        <f>IF('14 Detailed Results'!Q26="","",'14 Detailed Results'!Q26)</f>
        <v>0</v>
      </c>
      <c r="T239" t="str">
        <f>IF('14 Detailed Results'!R26="","",'14 Detailed Results'!R26)</f>
        <v>Service user</v>
      </c>
      <c r="U239" t="str">
        <f>IF('14 Detailed Results'!S26="","",'14 Detailed Results'!S26)</f>
        <v/>
      </c>
    </row>
    <row r="240" spans="1:21">
      <c r="A240" s="3">
        <f>'02 Hospice Setup'!$B$5</f>
        <v>0</v>
      </c>
      <c r="B240" s="3" t="str">
        <f>'02 Hospice Setup'!$H$5</f>
        <v>Version 5.1</v>
      </c>
      <c r="C240" s="3" t="str">
        <f>'02 Hospice Setup'!$E$6</f>
        <v>Actual</v>
      </c>
      <c r="D240" s="18">
        <f>'02 Hospice Setup'!$H$7</f>
        <v>0</v>
      </c>
      <c r="E240" s="3" t="s">
        <v>146</v>
      </c>
      <c r="F240" s="3" t="s">
        <v>158</v>
      </c>
      <c r="G240" s="3" t="s">
        <v>159</v>
      </c>
      <c r="H240" s="3" t="s">
        <v>382</v>
      </c>
      <c r="I240" s="19">
        <f>SUMIF('14 Detailed Results'!$A$5:$A$35,F240,'14 Detailed Results'!$G$5:$G$35)</f>
        <v>0</v>
      </c>
      <c r="J240" s="3" t="s">
        <v>403</v>
      </c>
      <c r="K240" s="3"/>
      <c r="L240" s="3"/>
      <c r="M240" s="3"/>
      <c r="N240" s="3" t="str">
        <f t="shared" si="21"/>
        <v>Not provided</v>
      </c>
      <c r="O240" s="3"/>
      <c r="P240" s="3" t="s">
        <v>43</v>
      </c>
      <c r="Q240">
        <f>IF('14 Detailed Results'!O26="","",'14 Detailed Results'!O26)</f>
        <v>0</v>
      </c>
      <c r="R240">
        <f>IF('14 Detailed Results'!P26="","",'14 Detailed Results'!P26)</f>
        <v>0</v>
      </c>
      <c r="S240">
        <f>IF('14 Detailed Results'!Q26="","",'14 Detailed Results'!Q26)</f>
        <v>0</v>
      </c>
      <c r="T240" t="str">
        <f>IF('14 Detailed Results'!R26="","",'14 Detailed Results'!R26)</f>
        <v>Service user</v>
      </c>
      <c r="U240" t="str">
        <f>IF('14 Detailed Results'!S26="","",'14 Detailed Results'!S26)</f>
        <v/>
      </c>
    </row>
    <row r="241" spans="1:21">
      <c r="A241" s="3">
        <f>'02 Hospice Setup'!$B$5</f>
        <v>0</v>
      </c>
      <c r="B241" s="3" t="str">
        <f>'02 Hospice Setup'!$H$5</f>
        <v>Version 5.1</v>
      </c>
      <c r="C241" s="3" t="str">
        <f>'02 Hospice Setup'!$E$6</f>
        <v>Actual</v>
      </c>
      <c r="D241" s="18">
        <f>'02 Hospice Setup'!$H$7</f>
        <v>0</v>
      </c>
      <c r="E241" s="3" t="s">
        <v>146</v>
      </c>
      <c r="F241" s="3" t="s">
        <v>158</v>
      </c>
      <c r="G241" s="3" t="s">
        <v>159</v>
      </c>
      <c r="H241" s="3" t="s">
        <v>386</v>
      </c>
      <c r="I241" s="19">
        <f>SUMIF('14 Detailed Results'!$A$5:$A$35,F241,'14 Detailed Results'!$H$5:$H$35)</f>
        <v>0</v>
      </c>
      <c r="J241" s="3" t="s">
        <v>403</v>
      </c>
      <c r="K241" s="3"/>
      <c r="L241" s="3"/>
      <c r="M241" s="3"/>
      <c r="N241" s="3" t="str">
        <f t="shared" si="21"/>
        <v>Not provided</v>
      </c>
      <c r="O241" s="3"/>
      <c r="P241" s="3" t="s">
        <v>43</v>
      </c>
      <c r="Q241">
        <f>IF('14 Detailed Results'!O26="","",'14 Detailed Results'!O26)</f>
        <v>0</v>
      </c>
      <c r="R241">
        <f>IF('14 Detailed Results'!P26="","",'14 Detailed Results'!P26)</f>
        <v>0</v>
      </c>
      <c r="S241">
        <f>IF('14 Detailed Results'!Q26="","",'14 Detailed Results'!Q26)</f>
        <v>0</v>
      </c>
      <c r="T241" t="str">
        <f>IF('14 Detailed Results'!R26="","",'14 Detailed Results'!R26)</f>
        <v>Service user</v>
      </c>
      <c r="U241" t="str">
        <f>IF('14 Detailed Results'!S26="","",'14 Detailed Results'!S26)</f>
        <v/>
      </c>
    </row>
    <row r="242" spans="1:21">
      <c r="A242" s="3">
        <f>'02 Hospice Setup'!$B$5</f>
        <v>0</v>
      </c>
      <c r="B242" s="3" t="str">
        <f>'02 Hospice Setup'!$H$5</f>
        <v>Version 5.1</v>
      </c>
      <c r="C242" s="3" t="str">
        <f>'02 Hospice Setup'!$E$6</f>
        <v>Actual</v>
      </c>
      <c r="D242" s="18">
        <f>'02 Hospice Setup'!$H$7</f>
        <v>0</v>
      </c>
      <c r="E242" s="3" t="s">
        <v>146</v>
      </c>
      <c r="F242" s="3" t="s">
        <v>158</v>
      </c>
      <c r="G242" s="3" t="s">
        <v>159</v>
      </c>
      <c r="H242" s="3" t="s">
        <v>704</v>
      </c>
      <c r="I242" s="19">
        <f>SUMIF('14 Detailed Results'!$A$5:$A$35,F242,'14 Detailed Results'!$I$5:$I$35)</f>
        <v>0</v>
      </c>
      <c r="J242" s="3" t="s">
        <v>61</v>
      </c>
      <c r="K242" s="3"/>
      <c r="L242" s="3"/>
      <c r="M242" s="3"/>
      <c r="N242" s="3" t="str">
        <f t="shared" si="21"/>
        <v>Not provided</v>
      </c>
      <c r="O242" s="3"/>
      <c r="P242" s="3" t="s">
        <v>43</v>
      </c>
      <c r="Q242">
        <f>IF('14 Detailed Results'!O26="","",'14 Detailed Results'!O26)</f>
        <v>0</v>
      </c>
      <c r="R242">
        <f>IF('14 Detailed Results'!P26="","",'14 Detailed Results'!P26)</f>
        <v>0</v>
      </c>
      <c r="S242">
        <f>IF('14 Detailed Results'!Q26="","",'14 Detailed Results'!Q26)</f>
        <v>0</v>
      </c>
      <c r="T242" t="str">
        <f>IF('14 Detailed Results'!R26="","",'14 Detailed Results'!R26)</f>
        <v>Service user</v>
      </c>
      <c r="U242" t="str">
        <f>IF('14 Detailed Results'!S26="","",'14 Detailed Results'!S26)</f>
        <v/>
      </c>
    </row>
    <row r="243" spans="1:21">
      <c r="A243" s="3">
        <f>'02 Hospice Setup'!$B$5</f>
        <v>0</v>
      </c>
      <c r="B243" s="3" t="str">
        <f>'02 Hospice Setup'!$H$5</f>
        <v>Version 5.1</v>
      </c>
      <c r="C243" s="3" t="str">
        <f>'02 Hospice Setup'!$E$6</f>
        <v>Actual</v>
      </c>
      <c r="D243" s="18">
        <f>'02 Hospice Setup'!$H$7</f>
        <v>0</v>
      </c>
      <c r="E243" s="3" t="s">
        <v>146</v>
      </c>
      <c r="F243" s="3" t="s">
        <v>158</v>
      </c>
      <c r="G243" s="3" t="s">
        <v>159</v>
      </c>
      <c r="H243" s="3" t="s">
        <v>705</v>
      </c>
      <c r="I243" s="19">
        <f>SUMIF('14 Detailed Results'!$A$5:$A$35,F243,'14 Detailed Results'!$J$5:$J$35)</f>
        <v>0</v>
      </c>
      <c r="J243" s="3" t="s">
        <v>61</v>
      </c>
      <c r="K243" s="3"/>
      <c r="L243" s="3"/>
      <c r="M243" s="3"/>
      <c r="N243" s="3" t="str">
        <f t="shared" si="21"/>
        <v>Not provided</v>
      </c>
      <c r="O243" s="3"/>
      <c r="P243" s="3" t="s">
        <v>43</v>
      </c>
      <c r="Q243">
        <f>IF('14 Detailed Results'!O26="","",'14 Detailed Results'!O26)</f>
        <v>0</v>
      </c>
      <c r="R243">
        <f>IF('14 Detailed Results'!P26="","",'14 Detailed Results'!P26)</f>
        <v>0</v>
      </c>
      <c r="S243">
        <f>IF('14 Detailed Results'!Q26="","",'14 Detailed Results'!Q26)</f>
        <v>0</v>
      </c>
      <c r="T243" t="str">
        <f>IF('14 Detailed Results'!R26="","",'14 Detailed Results'!R26)</f>
        <v>Service user</v>
      </c>
      <c r="U243" t="str">
        <f>IF('14 Detailed Results'!S26="","",'14 Detailed Results'!S26)</f>
        <v/>
      </c>
    </row>
    <row r="244" spans="1:21">
      <c r="A244" s="3">
        <f>'02 Hospice Setup'!$B$5</f>
        <v>0</v>
      </c>
      <c r="B244" s="3" t="str">
        <f>'02 Hospice Setup'!$H$5</f>
        <v>Version 5.1</v>
      </c>
      <c r="C244" s="3" t="str">
        <f>'02 Hospice Setup'!$E$6</f>
        <v>Actual</v>
      </c>
      <c r="D244" s="18">
        <f>'02 Hospice Setup'!$H$7</f>
        <v>0</v>
      </c>
      <c r="E244" s="3" t="s">
        <v>146</v>
      </c>
      <c r="F244" s="3" t="s">
        <v>158</v>
      </c>
      <c r="G244" s="3" t="s">
        <v>159</v>
      </c>
      <c r="H244" s="3" t="s">
        <v>564</v>
      </c>
      <c r="I244" s="19">
        <f>SUMIF('14 Detailed Results'!$A$5:$A$35,F244,'14 Detailed Results'!$K$5:$K$35)</f>
        <v>0</v>
      </c>
      <c r="J244" s="3" t="s">
        <v>706</v>
      </c>
      <c r="K244" s="3"/>
      <c r="L244" s="3"/>
      <c r="M244" s="3"/>
      <c r="N244" s="3" t="str">
        <f t="shared" si="21"/>
        <v>Not provided</v>
      </c>
      <c r="O244" s="3"/>
      <c r="P244" s="3" t="s">
        <v>43</v>
      </c>
      <c r="Q244">
        <f>IF('14 Detailed Results'!O26="","",'14 Detailed Results'!O26)</f>
        <v>0</v>
      </c>
      <c r="R244">
        <f>IF('14 Detailed Results'!P26="","",'14 Detailed Results'!P26)</f>
        <v>0</v>
      </c>
      <c r="S244">
        <f>IF('14 Detailed Results'!Q26="","",'14 Detailed Results'!Q26)</f>
        <v>0</v>
      </c>
      <c r="T244" t="str">
        <f>IF('14 Detailed Results'!R26="","",'14 Detailed Results'!R26)</f>
        <v>Service user</v>
      </c>
      <c r="U244" t="str">
        <f>IF('14 Detailed Results'!S26="","",'14 Detailed Results'!S26)</f>
        <v/>
      </c>
    </row>
    <row r="245" spans="1:21">
      <c r="A245" s="3">
        <f>'02 Hospice Setup'!$B$5</f>
        <v>0</v>
      </c>
      <c r="B245" s="3" t="str">
        <f>'02 Hospice Setup'!$H$5</f>
        <v>Version 5.1</v>
      </c>
      <c r="C245" s="3" t="str">
        <f>'02 Hospice Setup'!$E$6</f>
        <v>Actual</v>
      </c>
      <c r="D245" s="18">
        <f>'02 Hospice Setup'!$H$7</f>
        <v>0</v>
      </c>
      <c r="E245" s="3" t="s">
        <v>146</v>
      </c>
      <c r="F245" s="3" t="s">
        <v>158</v>
      </c>
      <c r="G245" s="3" t="s">
        <v>159</v>
      </c>
      <c r="H245" s="3" t="s">
        <v>708</v>
      </c>
      <c r="I245" s="19">
        <f>SUMIF('14 Detailed Results'!$A$5:$A$35,F245,'14 Detailed Results'!$L$5:$L$35)</f>
        <v>0</v>
      </c>
      <c r="J245" s="3" t="s">
        <v>427</v>
      </c>
      <c r="K245" s="3"/>
      <c r="L245" s="3"/>
      <c r="M245" s="3"/>
      <c r="N245" s="3" t="str">
        <f>IF(SUMIF('14 Detailed Results'!$A$5:$A$35,F245,'14 Detailed Results'!$F$5:$F$35)=0,"Not provided",IF(I245=0,"Not available","Complete"))</f>
        <v>Not provided</v>
      </c>
      <c r="O245" s="3" t="s">
        <v>709</v>
      </c>
      <c r="P245" s="3" t="s">
        <v>43</v>
      </c>
      <c r="Q245">
        <f>IF('14 Detailed Results'!O26="","",'14 Detailed Results'!O26)</f>
        <v>0</v>
      </c>
      <c r="R245">
        <f>IF('14 Detailed Results'!P26="","",'14 Detailed Results'!P26)</f>
        <v>0</v>
      </c>
      <c r="S245">
        <f>IF('14 Detailed Results'!Q26="","",'14 Detailed Results'!Q26)</f>
        <v>0</v>
      </c>
      <c r="T245" t="str">
        <f>IF('14 Detailed Results'!R26="","",'14 Detailed Results'!R26)</f>
        <v>Service user</v>
      </c>
      <c r="U245" t="str">
        <f>IF('14 Detailed Results'!S26="","",'14 Detailed Results'!S26)</f>
        <v/>
      </c>
    </row>
    <row r="246" spans="1:21">
      <c r="A246" s="3">
        <f>'02 Hospice Setup'!$B$5</f>
        <v>0</v>
      </c>
      <c r="B246" s="3" t="str">
        <f>'02 Hospice Setup'!$H$5</f>
        <v>Version 5.1</v>
      </c>
      <c r="C246" s="3" t="str">
        <f>'02 Hospice Setup'!$E$6</f>
        <v>Actual</v>
      </c>
      <c r="D246" s="18">
        <f>'02 Hospice Setup'!$H$7</f>
        <v>0</v>
      </c>
      <c r="E246" s="3" t="s">
        <v>146</v>
      </c>
      <c r="F246" s="3" t="s">
        <v>158</v>
      </c>
      <c r="G246" s="3" t="s">
        <v>159</v>
      </c>
      <c r="H246" s="3" t="s">
        <v>710</v>
      </c>
      <c r="I246" s="19">
        <f>SUMIF('14 Detailed Results'!$A$5:$A$35,F246,'14 Detailed Results'!$M$5:$M$35)</f>
        <v>0</v>
      </c>
      <c r="J246" s="3" t="s">
        <v>61</v>
      </c>
      <c r="K246" s="3"/>
      <c r="L246" s="3"/>
      <c r="M246" s="3"/>
      <c r="N246" s="3" t="str">
        <f>IF(SUMIF('14 Detailed Results'!$A$5:$A$35,F246,'14 Detailed Results'!$F$5:$F$35)=0,"Not provided",IF(I246=0,"Not available","Complete"))</f>
        <v>Not provided</v>
      </c>
      <c r="O246" s="3"/>
      <c r="P246" s="3" t="s">
        <v>43</v>
      </c>
      <c r="Q246">
        <f>IF('14 Detailed Results'!O26="","",'14 Detailed Results'!O26)</f>
        <v>0</v>
      </c>
      <c r="R246">
        <f>IF('14 Detailed Results'!P26="","",'14 Detailed Results'!P26)</f>
        <v>0</v>
      </c>
      <c r="S246">
        <f>IF('14 Detailed Results'!Q26="","",'14 Detailed Results'!Q26)</f>
        <v>0</v>
      </c>
      <c r="T246" t="str">
        <f>IF('14 Detailed Results'!R26="","",'14 Detailed Results'!R26)</f>
        <v>Service user</v>
      </c>
      <c r="U246" t="str">
        <f>IF('14 Detailed Results'!S26="","",'14 Detailed Results'!S26)</f>
        <v/>
      </c>
    </row>
    <row r="247" spans="1:21">
      <c r="A247" s="3">
        <f>'02 Hospice Setup'!$B$5</f>
        <v>0</v>
      </c>
      <c r="B247" s="3" t="str">
        <f>'02 Hospice Setup'!$H$5</f>
        <v>Version 5.1</v>
      </c>
      <c r="C247" s="3" t="str">
        <f>'02 Hospice Setup'!$E$6</f>
        <v>Actual</v>
      </c>
      <c r="D247" s="18">
        <f>'02 Hospice Setup'!$H$7</f>
        <v>0</v>
      </c>
      <c r="E247" s="3" t="s">
        <v>146</v>
      </c>
      <c r="F247" s="3" t="s">
        <v>160</v>
      </c>
      <c r="G247" s="3" t="s">
        <v>161</v>
      </c>
      <c r="H247" s="3" t="s">
        <v>559</v>
      </c>
      <c r="I247" s="19">
        <f>SUMIF('14 Detailed Results'!$A$5:$A$35,F247,'14 Detailed Results'!$C$5:$C$35)</f>
        <v>0</v>
      </c>
      <c r="J247" s="3" t="s">
        <v>61</v>
      </c>
      <c r="K247" s="3"/>
      <c r="L247" s="3"/>
      <c r="M247" s="3"/>
      <c r="N247" s="3" t="str">
        <f t="shared" ref="N247:N255" si="22">IF(I247=0,"Not provided","Complete")</f>
        <v>Not provided</v>
      </c>
      <c r="O247" s="3"/>
      <c r="P247" s="3" t="s">
        <v>43</v>
      </c>
      <c r="Q247">
        <f>IF('14 Detailed Results'!O27="","",'14 Detailed Results'!O27)</f>
        <v>0</v>
      </c>
      <c r="R247">
        <f>IF('14 Detailed Results'!P27="","",'14 Detailed Results'!P27)</f>
        <v>0</v>
      </c>
      <c r="S247">
        <f>IF('14 Detailed Results'!Q27="","",'14 Detailed Results'!Q27)</f>
        <v>0</v>
      </c>
      <c r="T247" t="str">
        <f>IF('14 Detailed Results'!R27="","",'14 Detailed Results'!R27)</f>
        <v>Service user</v>
      </c>
      <c r="U247" t="str">
        <f>IF('14 Detailed Results'!S27="","",'14 Detailed Results'!S27)</f>
        <v/>
      </c>
    </row>
    <row r="248" spans="1:21">
      <c r="A248" s="3">
        <f>'02 Hospice Setup'!$B$5</f>
        <v>0</v>
      </c>
      <c r="B248" s="3" t="str">
        <f>'02 Hospice Setup'!$H$5</f>
        <v>Version 5.1</v>
      </c>
      <c r="C248" s="3" t="str">
        <f>'02 Hospice Setup'!$E$6</f>
        <v>Actual</v>
      </c>
      <c r="D248" s="18">
        <f>'02 Hospice Setup'!$H$7</f>
        <v>0</v>
      </c>
      <c r="E248" s="3" t="s">
        <v>146</v>
      </c>
      <c r="F248" s="3" t="s">
        <v>160</v>
      </c>
      <c r="G248" s="3" t="s">
        <v>161</v>
      </c>
      <c r="H248" s="3" t="s">
        <v>560</v>
      </c>
      <c r="I248" s="19">
        <f>SUMIF('14 Detailed Results'!$A$5:$A$35,F248,'14 Detailed Results'!$D$5:$D$35)</f>
        <v>0</v>
      </c>
      <c r="J248" s="3" t="s">
        <v>61</v>
      </c>
      <c r="K248" s="3"/>
      <c r="L248" s="3"/>
      <c r="M248" s="3"/>
      <c r="N248" s="3" t="str">
        <f t="shared" si="22"/>
        <v>Not provided</v>
      </c>
      <c r="O248" s="3"/>
      <c r="P248" s="3" t="s">
        <v>43</v>
      </c>
      <c r="Q248">
        <f>IF('14 Detailed Results'!O27="","",'14 Detailed Results'!O27)</f>
        <v>0</v>
      </c>
      <c r="R248">
        <f>IF('14 Detailed Results'!P27="","",'14 Detailed Results'!P27)</f>
        <v>0</v>
      </c>
      <c r="S248">
        <f>IF('14 Detailed Results'!Q27="","",'14 Detailed Results'!Q27)</f>
        <v>0</v>
      </c>
      <c r="T248" t="str">
        <f>IF('14 Detailed Results'!R27="","",'14 Detailed Results'!R27)</f>
        <v>Service user</v>
      </c>
      <c r="U248" t="str">
        <f>IF('14 Detailed Results'!S27="","",'14 Detailed Results'!S27)</f>
        <v/>
      </c>
    </row>
    <row r="249" spans="1:21">
      <c r="A249" s="3">
        <f>'02 Hospice Setup'!$B$5</f>
        <v>0</v>
      </c>
      <c r="B249" s="3" t="str">
        <f>'02 Hospice Setup'!$H$5</f>
        <v>Version 5.1</v>
      </c>
      <c r="C249" s="3" t="str">
        <f>'02 Hospice Setup'!$E$6</f>
        <v>Actual</v>
      </c>
      <c r="D249" s="18">
        <f>'02 Hospice Setup'!$H$7</f>
        <v>0</v>
      </c>
      <c r="E249" s="3" t="s">
        <v>146</v>
      </c>
      <c r="F249" s="3" t="s">
        <v>160</v>
      </c>
      <c r="G249" s="3" t="s">
        <v>161</v>
      </c>
      <c r="H249" s="3" t="s">
        <v>570</v>
      </c>
      <c r="I249" s="19">
        <f>SUMIF('14 Detailed Results'!$A$5:$A$35,F249,'14 Detailed Results'!$E$5:$E$35)</f>
        <v>0</v>
      </c>
      <c r="J249" s="3" t="s">
        <v>61</v>
      </c>
      <c r="K249" s="3"/>
      <c r="L249" s="3"/>
      <c r="M249" s="3"/>
      <c r="N249" s="3" t="str">
        <f t="shared" si="22"/>
        <v>Not provided</v>
      </c>
      <c r="O249" s="3"/>
      <c r="P249" s="3" t="s">
        <v>43</v>
      </c>
      <c r="Q249">
        <f>IF('14 Detailed Results'!O27="","",'14 Detailed Results'!O27)</f>
        <v>0</v>
      </c>
      <c r="R249">
        <f>IF('14 Detailed Results'!P27="","",'14 Detailed Results'!P27)</f>
        <v>0</v>
      </c>
      <c r="S249">
        <f>IF('14 Detailed Results'!Q27="","",'14 Detailed Results'!Q27)</f>
        <v>0</v>
      </c>
      <c r="T249" t="str">
        <f>IF('14 Detailed Results'!R27="","",'14 Detailed Results'!R27)</f>
        <v>Service user</v>
      </c>
      <c r="U249" t="str">
        <f>IF('14 Detailed Results'!S27="","",'14 Detailed Results'!S27)</f>
        <v/>
      </c>
    </row>
    <row r="250" spans="1:21">
      <c r="A250" s="3">
        <f>'02 Hospice Setup'!$B$5</f>
        <v>0</v>
      </c>
      <c r="B250" s="3" t="str">
        <f>'02 Hospice Setup'!$H$5</f>
        <v>Version 5.1</v>
      </c>
      <c r="C250" s="3" t="str">
        <f>'02 Hospice Setup'!$E$6</f>
        <v>Actual</v>
      </c>
      <c r="D250" s="18">
        <f>'02 Hospice Setup'!$H$7</f>
        <v>0</v>
      </c>
      <c r="E250" s="3" t="s">
        <v>146</v>
      </c>
      <c r="F250" s="3" t="s">
        <v>160</v>
      </c>
      <c r="G250" s="3" t="s">
        <v>161</v>
      </c>
      <c r="H250" s="3" t="s">
        <v>561</v>
      </c>
      <c r="I250" s="19">
        <f>SUMIF('14 Detailed Results'!$A$5:$A$35,F250,'14 Detailed Results'!$F$5:$F$35)</f>
        <v>0</v>
      </c>
      <c r="J250" s="3" t="s">
        <v>61</v>
      </c>
      <c r="K250" s="3"/>
      <c r="L250" s="3"/>
      <c r="M250" s="3"/>
      <c r="N250" s="3" t="str">
        <f t="shared" si="22"/>
        <v>Not provided</v>
      </c>
      <c r="O250" s="3"/>
      <c r="P250" s="3" t="s">
        <v>43</v>
      </c>
      <c r="Q250">
        <f>IF('14 Detailed Results'!O27="","",'14 Detailed Results'!O27)</f>
        <v>0</v>
      </c>
      <c r="R250">
        <f>IF('14 Detailed Results'!P27="","",'14 Detailed Results'!P27)</f>
        <v>0</v>
      </c>
      <c r="S250">
        <f>IF('14 Detailed Results'!Q27="","",'14 Detailed Results'!Q27)</f>
        <v>0</v>
      </c>
      <c r="T250" t="str">
        <f>IF('14 Detailed Results'!R27="","",'14 Detailed Results'!R27)</f>
        <v>Service user</v>
      </c>
      <c r="U250" t="str">
        <f>IF('14 Detailed Results'!S27="","",'14 Detailed Results'!S27)</f>
        <v/>
      </c>
    </row>
    <row r="251" spans="1:21">
      <c r="A251" s="3">
        <f>'02 Hospice Setup'!$B$5</f>
        <v>0</v>
      </c>
      <c r="B251" s="3" t="str">
        <f>'02 Hospice Setup'!$H$5</f>
        <v>Version 5.1</v>
      </c>
      <c r="C251" s="3" t="str">
        <f>'02 Hospice Setup'!$E$6</f>
        <v>Actual</v>
      </c>
      <c r="D251" s="18">
        <f>'02 Hospice Setup'!$H$7</f>
        <v>0</v>
      </c>
      <c r="E251" s="3" t="s">
        <v>146</v>
      </c>
      <c r="F251" s="3" t="s">
        <v>160</v>
      </c>
      <c r="G251" s="3" t="s">
        <v>161</v>
      </c>
      <c r="H251" s="3" t="s">
        <v>382</v>
      </c>
      <c r="I251" s="19">
        <f>SUMIF('14 Detailed Results'!$A$5:$A$35,F251,'14 Detailed Results'!$G$5:$G$35)</f>
        <v>0</v>
      </c>
      <c r="J251" s="3" t="s">
        <v>403</v>
      </c>
      <c r="K251" s="3"/>
      <c r="L251" s="3"/>
      <c r="M251" s="3"/>
      <c r="N251" s="3" t="str">
        <f t="shared" si="22"/>
        <v>Not provided</v>
      </c>
      <c r="O251" s="3"/>
      <c r="P251" s="3" t="s">
        <v>43</v>
      </c>
      <c r="Q251">
        <f>IF('14 Detailed Results'!O27="","",'14 Detailed Results'!O27)</f>
        <v>0</v>
      </c>
      <c r="R251">
        <f>IF('14 Detailed Results'!P27="","",'14 Detailed Results'!P27)</f>
        <v>0</v>
      </c>
      <c r="S251">
        <f>IF('14 Detailed Results'!Q27="","",'14 Detailed Results'!Q27)</f>
        <v>0</v>
      </c>
      <c r="T251" t="str">
        <f>IF('14 Detailed Results'!R27="","",'14 Detailed Results'!R27)</f>
        <v>Service user</v>
      </c>
      <c r="U251" t="str">
        <f>IF('14 Detailed Results'!S27="","",'14 Detailed Results'!S27)</f>
        <v/>
      </c>
    </row>
    <row r="252" spans="1:21">
      <c r="A252" s="3">
        <f>'02 Hospice Setup'!$B$5</f>
        <v>0</v>
      </c>
      <c r="B252" s="3" t="str">
        <f>'02 Hospice Setup'!$H$5</f>
        <v>Version 5.1</v>
      </c>
      <c r="C252" s="3" t="str">
        <f>'02 Hospice Setup'!$E$6</f>
        <v>Actual</v>
      </c>
      <c r="D252" s="18">
        <f>'02 Hospice Setup'!$H$7</f>
        <v>0</v>
      </c>
      <c r="E252" s="3" t="s">
        <v>146</v>
      </c>
      <c r="F252" s="3" t="s">
        <v>160</v>
      </c>
      <c r="G252" s="3" t="s">
        <v>161</v>
      </c>
      <c r="H252" s="3" t="s">
        <v>386</v>
      </c>
      <c r="I252" s="19">
        <f>SUMIF('14 Detailed Results'!$A$5:$A$35,F252,'14 Detailed Results'!$H$5:$H$35)</f>
        <v>0</v>
      </c>
      <c r="J252" s="3" t="s">
        <v>403</v>
      </c>
      <c r="K252" s="3"/>
      <c r="L252" s="3"/>
      <c r="M252" s="3"/>
      <c r="N252" s="3" t="str">
        <f t="shared" si="22"/>
        <v>Not provided</v>
      </c>
      <c r="O252" s="3"/>
      <c r="P252" s="3" t="s">
        <v>43</v>
      </c>
      <c r="Q252">
        <f>IF('14 Detailed Results'!O27="","",'14 Detailed Results'!O27)</f>
        <v>0</v>
      </c>
      <c r="R252">
        <f>IF('14 Detailed Results'!P27="","",'14 Detailed Results'!P27)</f>
        <v>0</v>
      </c>
      <c r="S252">
        <f>IF('14 Detailed Results'!Q27="","",'14 Detailed Results'!Q27)</f>
        <v>0</v>
      </c>
      <c r="T252" t="str">
        <f>IF('14 Detailed Results'!R27="","",'14 Detailed Results'!R27)</f>
        <v>Service user</v>
      </c>
      <c r="U252" t="str">
        <f>IF('14 Detailed Results'!S27="","",'14 Detailed Results'!S27)</f>
        <v/>
      </c>
    </row>
    <row r="253" spans="1:21">
      <c r="A253" s="3">
        <f>'02 Hospice Setup'!$B$5</f>
        <v>0</v>
      </c>
      <c r="B253" s="3" t="str">
        <f>'02 Hospice Setup'!$H$5</f>
        <v>Version 5.1</v>
      </c>
      <c r="C253" s="3" t="str">
        <f>'02 Hospice Setup'!$E$6</f>
        <v>Actual</v>
      </c>
      <c r="D253" s="18">
        <f>'02 Hospice Setup'!$H$7</f>
        <v>0</v>
      </c>
      <c r="E253" s="3" t="s">
        <v>146</v>
      </c>
      <c r="F253" s="3" t="s">
        <v>160</v>
      </c>
      <c r="G253" s="3" t="s">
        <v>161</v>
      </c>
      <c r="H253" s="3" t="s">
        <v>704</v>
      </c>
      <c r="I253" s="19">
        <f>SUMIF('14 Detailed Results'!$A$5:$A$35,F253,'14 Detailed Results'!$I$5:$I$35)</f>
        <v>0</v>
      </c>
      <c r="J253" s="3" t="s">
        <v>61</v>
      </c>
      <c r="K253" s="3"/>
      <c r="L253" s="3"/>
      <c r="M253" s="3"/>
      <c r="N253" s="3" t="str">
        <f t="shared" si="22"/>
        <v>Not provided</v>
      </c>
      <c r="O253" s="3"/>
      <c r="P253" s="3" t="s">
        <v>43</v>
      </c>
      <c r="Q253">
        <f>IF('14 Detailed Results'!O27="","",'14 Detailed Results'!O27)</f>
        <v>0</v>
      </c>
      <c r="R253">
        <f>IF('14 Detailed Results'!P27="","",'14 Detailed Results'!P27)</f>
        <v>0</v>
      </c>
      <c r="S253">
        <f>IF('14 Detailed Results'!Q27="","",'14 Detailed Results'!Q27)</f>
        <v>0</v>
      </c>
      <c r="T253" t="str">
        <f>IF('14 Detailed Results'!R27="","",'14 Detailed Results'!R27)</f>
        <v>Service user</v>
      </c>
      <c r="U253" t="str">
        <f>IF('14 Detailed Results'!S27="","",'14 Detailed Results'!S27)</f>
        <v/>
      </c>
    </row>
    <row r="254" spans="1:21">
      <c r="A254" s="3">
        <f>'02 Hospice Setup'!$B$5</f>
        <v>0</v>
      </c>
      <c r="B254" s="3" t="str">
        <f>'02 Hospice Setup'!$H$5</f>
        <v>Version 5.1</v>
      </c>
      <c r="C254" s="3" t="str">
        <f>'02 Hospice Setup'!$E$6</f>
        <v>Actual</v>
      </c>
      <c r="D254" s="18">
        <f>'02 Hospice Setup'!$H$7</f>
        <v>0</v>
      </c>
      <c r="E254" s="3" t="s">
        <v>146</v>
      </c>
      <c r="F254" s="3" t="s">
        <v>160</v>
      </c>
      <c r="G254" s="3" t="s">
        <v>161</v>
      </c>
      <c r="H254" s="3" t="s">
        <v>705</v>
      </c>
      <c r="I254" s="19">
        <f>SUMIF('14 Detailed Results'!$A$5:$A$35,F254,'14 Detailed Results'!$J$5:$J$35)</f>
        <v>0</v>
      </c>
      <c r="J254" s="3" t="s">
        <v>61</v>
      </c>
      <c r="K254" s="3"/>
      <c r="L254" s="3"/>
      <c r="M254" s="3"/>
      <c r="N254" s="3" t="str">
        <f t="shared" si="22"/>
        <v>Not provided</v>
      </c>
      <c r="O254" s="3"/>
      <c r="P254" s="3" t="s">
        <v>43</v>
      </c>
      <c r="Q254">
        <f>IF('14 Detailed Results'!O27="","",'14 Detailed Results'!O27)</f>
        <v>0</v>
      </c>
      <c r="R254">
        <f>IF('14 Detailed Results'!P27="","",'14 Detailed Results'!P27)</f>
        <v>0</v>
      </c>
      <c r="S254">
        <f>IF('14 Detailed Results'!Q27="","",'14 Detailed Results'!Q27)</f>
        <v>0</v>
      </c>
      <c r="T254" t="str">
        <f>IF('14 Detailed Results'!R27="","",'14 Detailed Results'!R27)</f>
        <v>Service user</v>
      </c>
      <c r="U254" t="str">
        <f>IF('14 Detailed Results'!S27="","",'14 Detailed Results'!S27)</f>
        <v/>
      </c>
    </row>
    <row r="255" spans="1:21">
      <c r="A255" s="3">
        <f>'02 Hospice Setup'!$B$5</f>
        <v>0</v>
      </c>
      <c r="B255" s="3" t="str">
        <f>'02 Hospice Setup'!$H$5</f>
        <v>Version 5.1</v>
      </c>
      <c r="C255" s="3" t="str">
        <f>'02 Hospice Setup'!$E$6</f>
        <v>Actual</v>
      </c>
      <c r="D255" s="18">
        <f>'02 Hospice Setup'!$H$7</f>
        <v>0</v>
      </c>
      <c r="E255" s="3" t="s">
        <v>146</v>
      </c>
      <c r="F255" s="3" t="s">
        <v>160</v>
      </c>
      <c r="G255" s="3" t="s">
        <v>161</v>
      </c>
      <c r="H255" s="3" t="s">
        <v>564</v>
      </c>
      <c r="I255" s="19">
        <f>SUMIF('14 Detailed Results'!$A$5:$A$35,F255,'14 Detailed Results'!$K$5:$K$35)</f>
        <v>0</v>
      </c>
      <c r="J255" s="3" t="s">
        <v>706</v>
      </c>
      <c r="K255" s="3"/>
      <c r="L255" s="3"/>
      <c r="M255" s="3"/>
      <c r="N255" s="3" t="str">
        <f t="shared" si="22"/>
        <v>Not provided</v>
      </c>
      <c r="O255" s="3"/>
      <c r="P255" s="3" t="s">
        <v>43</v>
      </c>
      <c r="Q255">
        <f>IF('14 Detailed Results'!O27="","",'14 Detailed Results'!O27)</f>
        <v>0</v>
      </c>
      <c r="R255">
        <f>IF('14 Detailed Results'!P27="","",'14 Detailed Results'!P27)</f>
        <v>0</v>
      </c>
      <c r="S255">
        <f>IF('14 Detailed Results'!Q27="","",'14 Detailed Results'!Q27)</f>
        <v>0</v>
      </c>
      <c r="T255" t="str">
        <f>IF('14 Detailed Results'!R27="","",'14 Detailed Results'!R27)</f>
        <v>Service user</v>
      </c>
      <c r="U255" t="str">
        <f>IF('14 Detailed Results'!S27="","",'14 Detailed Results'!S27)</f>
        <v/>
      </c>
    </row>
    <row r="256" spans="1:21">
      <c r="A256" s="3">
        <f>'02 Hospice Setup'!$B$5</f>
        <v>0</v>
      </c>
      <c r="B256" s="3" t="str">
        <f>'02 Hospice Setup'!$H$5</f>
        <v>Version 5.1</v>
      </c>
      <c r="C256" s="3" t="str">
        <f>'02 Hospice Setup'!$E$6</f>
        <v>Actual</v>
      </c>
      <c r="D256" s="18">
        <f>'02 Hospice Setup'!$H$7</f>
        <v>0</v>
      </c>
      <c r="E256" s="3" t="s">
        <v>146</v>
      </c>
      <c r="F256" s="3" t="s">
        <v>160</v>
      </c>
      <c r="G256" s="3" t="s">
        <v>161</v>
      </c>
      <c r="H256" s="3" t="s">
        <v>708</v>
      </c>
      <c r="I256" s="19">
        <f>SUMIF('14 Detailed Results'!$A$5:$A$35,F256,'14 Detailed Results'!$L$5:$L$35)</f>
        <v>0</v>
      </c>
      <c r="J256" s="3" t="s">
        <v>427</v>
      </c>
      <c r="K256" s="3"/>
      <c r="L256" s="3"/>
      <c r="M256" s="3"/>
      <c r="N256" s="3" t="str">
        <f>IF(SUMIF('14 Detailed Results'!$A$5:$A$35,F256,'14 Detailed Results'!$F$5:$F$35)=0,"Not provided",IF(I256=0,"Not available","Complete"))</f>
        <v>Not provided</v>
      </c>
      <c r="O256" s="3" t="s">
        <v>709</v>
      </c>
      <c r="P256" s="3" t="s">
        <v>43</v>
      </c>
      <c r="Q256">
        <f>IF('14 Detailed Results'!O27="","",'14 Detailed Results'!O27)</f>
        <v>0</v>
      </c>
      <c r="R256">
        <f>IF('14 Detailed Results'!P27="","",'14 Detailed Results'!P27)</f>
        <v>0</v>
      </c>
      <c r="S256">
        <f>IF('14 Detailed Results'!Q27="","",'14 Detailed Results'!Q27)</f>
        <v>0</v>
      </c>
      <c r="T256" t="str">
        <f>IF('14 Detailed Results'!R27="","",'14 Detailed Results'!R27)</f>
        <v>Service user</v>
      </c>
      <c r="U256" t="str">
        <f>IF('14 Detailed Results'!S27="","",'14 Detailed Results'!S27)</f>
        <v/>
      </c>
    </row>
    <row r="257" spans="1:21">
      <c r="A257" s="3">
        <f>'02 Hospice Setup'!$B$5</f>
        <v>0</v>
      </c>
      <c r="B257" s="3" t="str">
        <f>'02 Hospice Setup'!$H$5</f>
        <v>Version 5.1</v>
      </c>
      <c r="C257" s="3" t="str">
        <f>'02 Hospice Setup'!$E$6</f>
        <v>Actual</v>
      </c>
      <c r="D257" s="18">
        <f>'02 Hospice Setup'!$H$7</f>
        <v>0</v>
      </c>
      <c r="E257" s="3" t="s">
        <v>146</v>
      </c>
      <c r="F257" s="3" t="s">
        <v>160</v>
      </c>
      <c r="G257" s="3" t="s">
        <v>161</v>
      </c>
      <c r="H257" s="3" t="s">
        <v>710</v>
      </c>
      <c r="I257" s="19">
        <f>SUMIF('14 Detailed Results'!$A$5:$A$35,F257,'14 Detailed Results'!$M$5:$M$35)</f>
        <v>0</v>
      </c>
      <c r="J257" s="3" t="s">
        <v>61</v>
      </c>
      <c r="K257" s="3"/>
      <c r="L257" s="3"/>
      <c r="M257" s="3"/>
      <c r="N257" s="3" t="str">
        <f>IF(SUMIF('14 Detailed Results'!$A$5:$A$35,F257,'14 Detailed Results'!$F$5:$F$35)=0,"Not provided",IF(I257=0,"Not available","Complete"))</f>
        <v>Not provided</v>
      </c>
      <c r="O257" s="3"/>
      <c r="P257" s="3" t="s">
        <v>43</v>
      </c>
      <c r="Q257">
        <f>IF('14 Detailed Results'!O27="","",'14 Detailed Results'!O27)</f>
        <v>0</v>
      </c>
      <c r="R257">
        <f>IF('14 Detailed Results'!P27="","",'14 Detailed Results'!P27)</f>
        <v>0</v>
      </c>
      <c r="S257">
        <f>IF('14 Detailed Results'!Q27="","",'14 Detailed Results'!Q27)</f>
        <v>0</v>
      </c>
      <c r="T257" t="str">
        <f>IF('14 Detailed Results'!R27="","",'14 Detailed Results'!R27)</f>
        <v>Service user</v>
      </c>
      <c r="U257" t="str">
        <f>IF('14 Detailed Results'!S27="","",'14 Detailed Results'!S27)</f>
        <v/>
      </c>
    </row>
    <row r="258" spans="1:21">
      <c r="A258" s="3">
        <f>'02 Hospice Setup'!$B$5</f>
        <v>0</v>
      </c>
      <c r="B258" s="3" t="str">
        <f>'02 Hospice Setup'!$H$5</f>
        <v>Version 5.1</v>
      </c>
      <c r="C258" s="3" t="str">
        <f>'02 Hospice Setup'!$E$6</f>
        <v>Actual</v>
      </c>
      <c r="D258" s="18">
        <f>'02 Hospice Setup'!$H$7</f>
        <v>0</v>
      </c>
      <c r="E258" s="3" t="s">
        <v>146</v>
      </c>
      <c r="F258" s="3" t="s">
        <v>162</v>
      </c>
      <c r="G258" s="3" t="s">
        <v>163</v>
      </c>
      <c r="H258" s="3" t="s">
        <v>559</v>
      </c>
      <c r="I258" s="19">
        <f>SUMIF('14 Detailed Results'!$A$5:$A$35,F258,'14 Detailed Results'!$C$5:$C$35)</f>
        <v>0</v>
      </c>
      <c r="J258" s="3" t="s">
        <v>61</v>
      </c>
      <c r="K258" s="3"/>
      <c r="L258" s="3"/>
      <c r="M258" s="3"/>
      <c r="N258" s="3" t="str">
        <f t="shared" ref="N258:N266" si="23">IF(I258=0,"Not provided","Complete")</f>
        <v>Not provided</v>
      </c>
      <c r="O258" s="3"/>
      <c r="P258" s="3" t="s">
        <v>43</v>
      </c>
      <c r="Q258">
        <f>IF('14 Detailed Results'!O28="","",'14 Detailed Results'!O28)</f>
        <v>0</v>
      </c>
      <c r="R258">
        <f>IF('14 Detailed Results'!P28="","",'14 Detailed Results'!P28)</f>
        <v>0</v>
      </c>
      <c r="S258">
        <f>IF('14 Detailed Results'!Q28="","",'14 Detailed Results'!Q28)</f>
        <v>0</v>
      </c>
      <c r="T258" t="str">
        <f>IF('14 Detailed Results'!R28="","",'14 Detailed Results'!R28)</f>
        <v>Service user</v>
      </c>
      <c r="U258" t="str">
        <f>IF('14 Detailed Results'!S28="","",'14 Detailed Results'!S28)</f>
        <v/>
      </c>
    </row>
    <row r="259" spans="1:21">
      <c r="A259" s="3">
        <f>'02 Hospice Setup'!$B$5</f>
        <v>0</v>
      </c>
      <c r="B259" s="3" t="str">
        <f>'02 Hospice Setup'!$H$5</f>
        <v>Version 5.1</v>
      </c>
      <c r="C259" s="3" t="str">
        <f>'02 Hospice Setup'!$E$6</f>
        <v>Actual</v>
      </c>
      <c r="D259" s="18">
        <f>'02 Hospice Setup'!$H$7</f>
        <v>0</v>
      </c>
      <c r="E259" s="3" t="s">
        <v>146</v>
      </c>
      <c r="F259" s="3" t="s">
        <v>162</v>
      </c>
      <c r="G259" s="3" t="s">
        <v>163</v>
      </c>
      <c r="H259" s="3" t="s">
        <v>560</v>
      </c>
      <c r="I259" s="19">
        <f>SUMIF('14 Detailed Results'!$A$5:$A$35,F259,'14 Detailed Results'!$D$5:$D$35)</f>
        <v>0</v>
      </c>
      <c r="J259" s="3" t="s">
        <v>61</v>
      </c>
      <c r="K259" s="3"/>
      <c r="L259" s="3"/>
      <c r="M259" s="3"/>
      <c r="N259" s="3" t="str">
        <f t="shared" si="23"/>
        <v>Not provided</v>
      </c>
      <c r="O259" s="3"/>
      <c r="P259" s="3" t="s">
        <v>43</v>
      </c>
      <c r="Q259">
        <f>IF('14 Detailed Results'!O28="","",'14 Detailed Results'!O28)</f>
        <v>0</v>
      </c>
      <c r="R259">
        <f>IF('14 Detailed Results'!P28="","",'14 Detailed Results'!P28)</f>
        <v>0</v>
      </c>
      <c r="S259">
        <f>IF('14 Detailed Results'!Q28="","",'14 Detailed Results'!Q28)</f>
        <v>0</v>
      </c>
      <c r="T259" t="str">
        <f>IF('14 Detailed Results'!R28="","",'14 Detailed Results'!R28)</f>
        <v>Service user</v>
      </c>
      <c r="U259" t="str">
        <f>IF('14 Detailed Results'!S28="","",'14 Detailed Results'!S28)</f>
        <v/>
      </c>
    </row>
    <row r="260" spans="1:21">
      <c r="A260" s="3">
        <f>'02 Hospice Setup'!$B$5</f>
        <v>0</v>
      </c>
      <c r="B260" s="3" t="str">
        <f>'02 Hospice Setup'!$H$5</f>
        <v>Version 5.1</v>
      </c>
      <c r="C260" s="3" t="str">
        <f>'02 Hospice Setup'!$E$6</f>
        <v>Actual</v>
      </c>
      <c r="D260" s="18">
        <f>'02 Hospice Setup'!$H$7</f>
        <v>0</v>
      </c>
      <c r="E260" s="3" t="s">
        <v>146</v>
      </c>
      <c r="F260" s="3" t="s">
        <v>162</v>
      </c>
      <c r="G260" s="3" t="s">
        <v>163</v>
      </c>
      <c r="H260" s="3" t="s">
        <v>570</v>
      </c>
      <c r="I260" s="19">
        <f>SUMIF('14 Detailed Results'!$A$5:$A$35,F260,'14 Detailed Results'!$E$5:$E$35)</f>
        <v>0</v>
      </c>
      <c r="J260" s="3" t="s">
        <v>61</v>
      </c>
      <c r="K260" s="3"/>
      <c r="L260" s="3"/>
      <c r="M260" s="3"/>
      <c r="N260" s="3" t="str">
        <f t="shared" si="23"/>
        <v>Not provided</v>
      </c>
      <c r="O260" s="3"/>
      <c r="P260" s="3" t="s">
        <v>43</v>
      </c>
      <c r="Q260">
        <f>IF('14 Detailed Results'!O28="","",'14 Detailed Results'!O28)</f>
        <v>0</v>
      </c>
      <c r="R260">
        <f>IF('14 Detailed Results'!P28="","",'14 Detailed Results'!P28)</f>
        <v>0</v>
      </c>
      <c r="S260">
        <f>IF('14 Detailed Results'!Q28="","",'14 Detailed Results'!Q28)</f>
        <v>0</v>
      </c>
      <c r="T260" t="str">
        <f>IF('14 Detailed Results'!R28="","",'14 Detailed Results'!R28)</f>
        <v>Service user</v>
      </c>
      <c r="U260" t="str">
        <f>IF('14 Detailed Results'!S28="","",'14 Detailed Results'!S28)</f>
        <v/>
      </c>
    </row>
    <row r="261" spans="1:21">
      <c r="A261" s="3">
        <f>'02 Hospice Setup'!$B$5</f>
        <v>0</v>
      </c>
      <c r="B261" s="3" t="str">
        <f>'02 Hospice Setup'!$H$5</f>
        <v>Version 5.1</v>
      </c>
      <c r="C261" s="3" t="str">
        <f>'02 Hospice Setup'!$E$6</f>
        <v>Actual</v>
      </c>
      <c r="D261" s="18">
        <f>'02 Hospice Setup'!$H$7</f>
        <v>0</v>
      </c>
      <c r="E261" s="3" t="s">
        <v>146</v>
      </c>
      <c r="F261" s="3" t="s">
        <v>162</v>
      </c>
      <c r="G261" s="3" t="s">
        <v>163</v>
      </c>
      <c r="H261" s="3" t="s">
        <v>561</v>
      </c>
      <c r="I261" s="19">
        <f>SUMIF('14 Detailed Results'!$A$5:$A$35,F261,'14 Detailed Results'!$F$5:$F$35)</f>
        <v>0</v>
      </c>
      <c r="J261" s="3" t="s">
        <v>61</v>
      </c>
      <c r="K261" s="3"/>
      <c r="L261" s="3"/>
      <c r="M261" s="3"/>
      <c r="N261" s="3" t="str">
        <f t="shared" si="23"/>
        <v>Not provided</v>
      </c>
      <c r="O261" s="3"/>
      <c r="P261" s="3" t="s">
        <v>43</v>
      </c>
      <c r="Q261">
        <f>IF('14 Detailed Results'!O28="","",'14 Detailed Results'!O28)</f>
        <v>0</v>
      </c>
      <c r="R261">
        <f>IF('14 Detailed Results'!P28="","",'14 Detailed Results'!P28)</f>
        <v>0</v>
      </c>
      <c r="S261">
        <f>IF('14 Detailed Results'!Q28="","",'14 Detailed Results'!Q28)</f>
        <v>0</v>
      </c>
      <c r="T261" t="str">
        <f>IF('14 Detailed Results'!R28="","",'14 Detailed Results'!R28)</f>
        <v>Service user</v>
      </c>
      <c r="U261" t="str">
        <f>IF('14 Detailed Results'!S28="","",'14 Detailed Results'!S28)</f>
        <v/>
      </c>
    </row>
    <row r="262" spans="1:21">
      <c r="A262" s="3">
        <f>'02 Hospice Setup'!$B$5</f>
        <v>0</v>
      </c>
      <c r="B262" s="3" t="str">
        <f>'02 Hospice Setup'!$H$5</f>
        <v>Version 5.1</v>
      </c>
      <c r="C262" s="3" t="str">
        <f>'02 Hospice Setup'!$E$6</f>
        <v>Actual</v>
      </c>
      <c r="D262" s="18">
        <f>'02 Hospice Setup'!$H$7</f>
        <v>0</v>
      </c>
      <c r="E262" s="3" t="s">
        <v>146</v>
      </c>
      <c r="F262" s="3" t="s">
        <v>162</v>
      </c>
      <c r="G262" s="3" t="s">
        <v>163</v>
      </c>
      <c r="H262" s="3" t="s">
        <v>382</v>
      </c>
      <c r="I262" s="19">
        <f>SUMIF('14 Detailed Results'!$A$5:$A$35,F262,'14 Detailed Results'!$G$5:$G$35)</f>
        <v>0</v>
      </c>
      <c r="J262" s="3" t="s">
        <v>407</v>
      </c>
      <c r="K262" s="3"/>
      <c r="L262" s="3"/>
      <c r="M262" s="3"/>
      <c r="N262" s="3" t="str">
        <f t="shared" si="23"/>
        <v>Not provided</v>
      </c>
      <c r="O262" s="3"/>
      <c r="P262" s="3" t="s">
        <v>43</v>
      </c>
      <c r="Q262">
        <f>IF('14 Detailed Results'!O28="","",'14 Detailed Results'!O28)</f>
        <v>0</v>
      </c>
      <c r="R262">
        <f>IF('14 Detailed Results'!P28="","",'14 Detailed Results'!P28)</f>
        <v>0</v>
      </c>
      <c r="S262">
        <f>IF('14 Detailed Results'!Q28="","",'14 Detailed Results'!Q28)</f>
        <v>0</v>
      </c>
      <c r="T262" t="str">
        <f>IF('14 Detailed Results'!R28="","",'14 Detailed Results'!R28)</f>
        <v>Service user</v>
      </c>
      <c r="U262" t="str">
        <f>IF('14 Detailed Results'!S28="","",'14 Detailed Results'!S28)</f>
        <v/>
      </c>
    </row>
    <row r="263" spans="1:21">
      <c r="A263" s="3">
        <f>'02 Hospice Setup'!$B$5</f>
        <v>0</v>
      </c>
      <c r="B263" s="3" t="str">
        <f>'02 Hospice Setup'!$H$5</f>
        <v>Version 5.1</v>
      </c>
      <c r="C263" s="3" t="str">
        <f>'02 Hospice Setup'!$E$6</f>
        <v>Actual</v>
      </c>
      <c r="D263" s="18">
        <f>'02 Hospice Setup'!$H$7</f>
        <v>0</v>
      </c>
      <c r="E263" s="3" t="s">
        <v>146</v>
      </c>
      <c r="F263" s="3" t="s">
        <v>162</v>
      </c>
      <c r="G263" s="3" t="s">
        <v>163</v>
      </c>
      <c r="H263" s="3" t="s">
        <v>386</v>
      </c>
      <c r="I263" s="19">
        <f>SUMIF('14 Detailed Results'!$A$5:$A$35,F263,'14 Detailed Results'!$H$5:$H$35)</f>
        <v>0</v>
      </c>
      <c r="J263" s="3" t="s">
        <v>407</v>
      </c>
      <c r="K263" s="3"/>
      <c r="L263" s="3"/>
      <c r="M263" s="3"/>
      <c r="N263" s="3" t="str">
        <f t="shared" si="23"/>
        <v>Not provided</v>
      </c>
      <c r="O263" s="3"/>
      <c r="P263" s="3" t="s">
        <v>43</v>
      </c>
      <c r="Q263">
        <f>IF('14 Detailed Results'!O28="","",'14 Detailed Results'!O28)</f>
        <v>0</v>
      </c>
      <c r="R263">
        <f>IF('14 Detailed Results'!P28="","",'14 Detailed Results'!P28)</f>
        <v>0</v>
      </c>
      <c r="S263">
        <f>IF('14 Detailed Results'!Q28="","",'14 Detailed Results'!Q28)</f>
        <v>0</v>
      </c>
      <c r="T263" t="str">
        <f>IF('14 Detailed Results'!R28="","",'14 Detailed Results'!R28)</f>
        <v>Service user</v>
      </c>
      <c r="U263" t="str">
        <f>IF('14 Detailed Results'!S28="","",'14 Detailed Results'!S28)</f>
        <v/>
      </c>
    </row>
    <row r="264" spans="1:21">
      <c r="A264" s="3">
        <f>'02 Hospice Setup'!$B$5</f>
        <v>0</v>
      </c>
      <c r="B264" s="3" t="str">
        <f>'02 Hospice Setup'!$H$5</f>
        <v>Version 5.1</v>
      </c>
      <c r="C264" s="3" t="str">
        <f>'02 Hospice Setup'!$E$6</f>
        <v>Actual</v>
      </c>
      <c r="D264" s="18">
        <f>'02 Hospice Setup'!$H$7</f>
        <v>0</v>
      </c>
      <c r="E264" s="3" t="s">
        <v>146</v>
      </c>
      <c r="F264" s="3" t="s">
        <v>162</v>
      </c>
      <c r="G264" s="3" t="s">
        <v>163</v>
      </c>
      <c r="H264" s="3" t="s">
        <v>704</v>
      </c>
      <c r="I264" s="19">
        <f>SUMIF('14 Detailed Results'!$A$5:$A$35,F264,'14 Detailed Results'!$I$5:$I$35)</f>
        <v>0</v>
      </c>
      <c r="J264" s="3" t="s">
        <v>61</v>
      </c>
      <c r="K264" s="3"/>
      <c r="L264" s="3"/>
      <c r="M264" s="3"/>
      <c r="N264" s="3" t="str">
        <f t="shared" si="23"/>
        <v>Not provided</v>
      </c>
      <c r="O264" s="3"/>
      <c r="P264" s="3" t="s">
        <v>43</v>
      </c>
      <c r="Q264">
        <f>IF('14 Detailed Results'!O28="","",'14 Detailed Results'!O28)</f>
        <v>0</v>
      </c>
      <c r="R264">
        <f>IF('14 Detailed Results'!P28="","",'14 Detailed Results'!P28)</f>
        <v>0</v>
      </c>
      <c r="S264">
        <f>IF('14 Detailed Results'!Q28="","",'14 Detailed Results'!Q28)</f>
        <v>0</v>
      </c>
      <c r="T264" t="str">
        <f>IF('14 Detailed Results'!R28="","",'14 Detailed Results'!R28)</f>
        <v>Service user</v>
      </c>
      <c r="U264" t="str">
        <f>IF('14 Detailed Results'!S28="","",'14 Detailed Results'!S28)</f>
        <v/>
      </c>
    </row>
    <row r="265" spans="1:21">
      <c r="A265" s="3">
        <f>'02 Hospice Setup'!$B$5</f>
        <v>0</v>
      </c>
      <c r="B265" s="3" t="str">
        <f>'02 Hospice Setup'!$H$5</f>
        <v>Version 5.1</v>
      </c>
      <c r="C265" s="3" t="str">
        <f>'02 Hospice Setup'!$E$6</f>
        <v>Actual</v>
      </c>
      <c r="D265" s="18">
        <f>'02 Hospice Setup'!$H$7</f>
        <v>0</v>
      </c>
      <c r="E265" s="3" t="s">
        <v>146</v>
      </c>
      <c r="F265" s="3" t="s">
        <v>162</v>
      </c>
      <c r="G265" s="3" t="s">
        <v>163</v>
      </c>
      <c r="H265" s="3" t="s">
        <v>705</v>
      </c>
      <c r="I265" s="19">
        <f>SUMIF('14 Detailed Results'!$A$5:$A$35,F265,'14 Detailed Results'!$J$5:$J$35)</f>
        <v>0</v>
      </c>
      <c r="J265" s="3" t="s">
        <v>61</v>
      </c>
      <c r="K265" s="3"/>
      <c r="L265" s="3"/>
      <c r="M265" s="3"/>
      <c r="N265" s="3" t="str">
        <f t="shared" si="23"/>
        <v>Not provided</v>
      </c>
      <c r="O265" s="3"/>
      <c r="P265" s="3" t="s">
        <v>43</v>
      </c>
      <c r="Q265">
        <f>IF('14 Detailed Results'!O28="","",'14 Detailed Results'!O28)</f>
        <v>0</v>
      </c>
      <c r="R265">
        <f>IF('14 Detailed Results'!P28="","",'14 Detailed Results'!P28)</f>
        <v>0</v>
      </c>
      <c r="S265">
        <f>IF('14 Detailed Results'!Q28="","",'14 Detailed Results'!Q28)</f>
        <v>0</v>
      </c>
      <c r="T265" t="str">
        <f>IF('14 Detailed Results'!R28="","",'14 Detailed Results'!R28)</f>
        <v>Service user</v>
      </c>
      <c r="U265" t="str">
        <f>IF('14 Detailed Results'!S28="","",'14 Detailed Results'!S28)</f>
        <v/>
      </c>
    </row>
    <row r="266" spans="1:21">
      <c r="A266" s="3">
        <f>'02 Hospice Setup'!$B$5</f>
        <v>0</v>
      </c>
      <c r="B266" s="3" t="str">
        <f>'02 Hospice Setup'!$H$5</f>
        <v>Version 5.1</v>
      </c>
      <c r="C266" s="3" t="str">
        <f>'02 Hospice Setup'!$E$6</f>
        <v>Actual</v>
      </c>
      <c r="D266" s="18">
        <f>'02 Hospice Setup'!$H$7</f>
        <v>0</v>
      </c>
      <c r="E266" s="3" t="s">
        <v>146</v>
      </c>
      <c r="F266" s="3" t="s">
        <v>162</v>
      </c>
      <c r="G266" s="3" t="s">
        <v>163</v>
      </c>
      <c r="H266" s="3" t="s">
        <v>564</v>
      </c>
      <c r="I266" s="19">
        <f>SUMIF('14 Detailed Results'!$A$5:$A$35,F266,'14 Detailed Results'!$K$5:$K$35)</f>
        <v>0</v>
      </c>
      <c r="J266" s="3" t="s">
        <v>706</v>
      </c>
      <c r="K266" s="3"/>
      <c r="L266" s="3"/>
      <c r="M266" s="3"/>
      <c r="N266" s="3" t="str">
        <f t="shared" si="23"/>
        <v>Not provided</v>
      </c>
      <c r="O266" s="3"/>
      <c r="P266" s="3" t="s">
        <v>43</v>
      </c>
      <c r="Q266">
        <f>IF('14 Detailed Results'!O28="","",'14 Detailed Results'!O28)</f>
        <v>0</v>
      </c>
      <c r="R266">
        <f>IF('14 Detailed Results'!P28="","",'14 Detailed Results'!P28)</f>
        <v>0</v>
      </c>
      <c r="S266">
        <f>IF('14 Detailed Results'!Q28="","",'14 Detailed Results'!Q28)</f>
        <v>0</v>
      </c>
      <c r="T266" t="str">
        <f>IF('14 Detailed Results'!R28="","",'14 Detailed Results'!R28)</f>
        <v>Service user</v>
      </c>
      <c r="U266" t="str">
        <f>IF('14 Detailed Results'!S28="","",'14 Detailed Results'!S28)</f>
        <v/>
      </c>
    </row>
    <row r="267" spans="1:21">
      <c r="A267" s="3">
        <f>'02 Hospice Setup'!$B$5</f>
        <v>0</v>
      </c>
      <c r="B267" s="3" t="str">
        <f>'02 Hospice Setup'!$H$5</f>
        <v>Version 5.1</v>
      </c>
      <c r="C267" s="3" t="str">
        <f>'02 Hospice Setup'!$E$6</f>
        <v>Actual</v>
      </c>
      <c r="D267" s="18">
        <f>'02 Hospice Setup'!$H$7</f>
        <v>0</v>
      </c>
      <c r="E267" s="3" t="s">
        <v>146</v>
      </c>
      <c r="F267" s="3" t="s">
        <v>162</v>
      </c>
      <c r="G267" s="3" t="s">
        <v>163</v>
      </c>
      <c r="H267" s="3" t="s">
        <v>708</v>
      </c>
      <c r="I267" s="19">
        <f>SUMIF('14 Detailed Results'!$A$5:$A$35,F267,'14 Detailed Results'!$L$5:$L$35)</f>
        <v>0</v>
      </c>
      <c r="J267" s="3" t="s">
        <v>427</v>
      </c>
      <c r="K267" s="3"/>
      <c r="L267" s="3"/>
      <c r="M267" s="3"/>
      <c r="N267" s="3" t="str">
        <f>IF(SUMIF('14 Detailed Results'!$A$5:$A$35,F267,'14 Detailed Results'!$F$5:$F$35)=0,"Not provided",IF(I267=0,"Not available","Complete"))</f>
        <v>Not provided</v>
      </c>
      <c r="O267" s="3" t="s">
        <v>709</v>
      </c>
      <c r="P267" s="3" t="s">
        <v>43</v>
      </c>
      <c r="Q267">
        <f>IF('14 Detailed Results'!O28="","",'14 Detailed Results'!O28)</f>
        <v>0</v>
      </c>
      <c r="R267">
        <f>IF('14 Detailed Results'!P28="","",'14 Detailed Results'!P28)</f>
        <v>0</v>
      </c>
      <c r="S267">
        <f>IF('14 Detailed Results'!Q28="","",'14 Detailed Results'!Q28)</f>
        <v>0</v>
      </c>
      <c r="T267" t="str">
        <f>IF('14 Detailed Results'!R28="","",'14 Detailed Results'!R28)</f>
        <v>Service user</v>
      </c>
      <c r="U267" t="str">
        <f>IF('14 Detailed Results'!S28="","",'14 Detailed Results'!S28)</f>
        <v/>
      </c>
    </row>
    <row r="268" spans="1:21">
      <c r="A268" s="3">
        <f>'02 Hospice Setup'!$B$5</f>
        <v>0</v>
      </c>
      <c r="B268" s="3" t="str">
        <f>'02 Hospice Setup'!$H$5</f>
        <v>Version 5.1</v>
      </c>
      <c r="C268" s="3" t="str">
        <f>'02 Hospice Setup'!$E$6</f>
        <v>Actual</v>
      </c>
      <c r="D268" s="18">
        <f>'02 Hospice Setup'!$H$7</f>
        <v>0</v>
      </c>
      <c r="E268" s="3" t="s">
        <v>146</v>
      </c>
      <c r="F268" s="3" t="s">
        <v>162</v>
      </c>
      <c r="G268" s="3" t="s">
        <v>163</v>
      </c>
      <c r="H268" s="3" t="s">
        <v>710</v>
      </c>
      <c r="I268" s="19">
        <f>SUMIF('14 Detailed Results'!$A$5:$A$35,F268,'14 Detailed Results'!$M$5:$M$35)</f>
        <v>0</v>
      </c>
      <c r="J268" s="3" t="s">
        <v>61</v>
      </c>
      <c r="K268" s="3"/>
      <c r="L268" s="3"/>
      <c r="M268" s="3"/>
      <c r="N268" s="3" t="str">
        <f>IF(SUMIF('14 Detailed Results'!$A$5:$A$35,F268,'14 Detailed Results'!$F$5:$F$35)=0,"Not provided",IF(I268=0,"Not available","Complete"))</f>
        <v>Not provided</v>
      </c>
      <c r="O268" s="3"/>
      <c r="P268" s="3" t="s">
        <v>43</v>
      </c>
      <c r="Q268">
        <f>IF('14 Detailed Results'!O28="","",'14 Detailed Results'!O28)</f>
        <v>0</v>
      </c>
      <c r="R268">
        <f>IF('14 Detailed Results'!P28="","",'14 Detailed Results'!P28)</f>
        <v>0</v>
      </c>
      <c r="S268">
        <f>IF('14 Detailed Results'!Q28="","",'14 Detailed Results'!Q28)</f>
        <v>0</v>
      </c>
      <c r="T268" t="str">
        <f>IF('14 Detailed Results'!R28="","",'14 Detailed Results'!R28)</f>
        <v>Service user</v>
      </c>
      <c r="U268" t="str">
        <f>IF('14 Detailed Results'!S28="","",'14 Detailed Results'!S28)</f>
        <v/>
      </c>
    </row>
    <row r="269" spans="1:21">
      <c r="A269" s="3">
        <f>'02 Hospice Setup'!$B$5</f>
        <v>0</v>
      </c>
      <c r="B269" s="3" t="str">
        <f>'02 Hospice Setup'!$H$5</f>
        <v>Version 5.1</v>
      </c>
      <c r="C269" s="3" t="str">
        <f>'02 Hospice Setup'!$E$6</f>
        <v>Actual</v>
      </c>
      <c r="D269" s="18">
        <f>'02 Hospice Setup'!$H$7</f>
        <v>0</v>
      </c>
      <c r="E269" s="3" t="s">
        <v>165</v>
      </c>
      <c r="F269" s="3" t="s">
        <v>164</v>
      </c>
      <c r="G269" s="3" t="s">
        <v>167</v>
      </c>
      <c r="H269" s="3" t="s">
        <v>559</v>
      </c>
      <c r="I269" s="19">
        <f>SUMIF('14 Detailed Results'!$A$5:$A$35,F269,'14 Detailed Results'!$C$5:$C$35)</f>
        <v>0</v>
      </c>
      <c r="J269" s="3" t="s">
        <v>61</v>
      </c>
      <c r="K269" s="3"/>
      <c r="L269" s="3"/>
      <c r="M269" s="3"/>
      <c r="N269" s="3" t="str">
        <f t="shared" ref="N269:N277" si="24">IF(I269=0,"Not provided","Complete")</f>
        <v>Not provided</v>
      </c>
      <c r="O269" s="3"/>
      <c r="P269" s="3" t="s">
        <v>43</v>
      </c>
      <c r="Q269">
        <f>IF('14 Detailed Results'!O29="","",'14 Detailed Results'!O29)</f>
        <v>0</v>
      </c>
      <c r="R269">
        <f>IF('14 Detailed Results'!P29="","",'14 Detailed Results'!P29)</f>
        <v>0</v>
      </c>
      <c r="S269">
        <f>IF('14 Detailed Results'!Q29="","",'14 Detailed Results'!Q29)</f>
        <v>0</v>
      </c>
      <c r="T269" t="str">
        <f>IF('14 Detailed Results'!R29="","",'14 Detailed Results'!R29)</f>
        <v>Not applicable</v>
      </c>
      <c r="U269" t="str">
        <f>IF('14 Detailed Results'!S29="","",'14 Detailed Results'!S29)</f>
        <v/>
      </c>
    </row>
    <row r="270" spans="1:21">
      <c r="A270" s="3">
        <f>'02 Hospice Setup'!$B$5</f>
        <v>0</v>
      </c>
      <c r="B270" s="3" t="str">
        <f>'02 Hospice Setup'!$H$5</f>
        <v>Version 5.1</v>
      </c>
      <c r="C270" s="3" t="str">
        <f>'02 Hospice Setup'!$E$6</f>
        <v>Actual</v>
      </c>
      <c r="D270" s="18">
        <f>'02 Hospice Setup'!$H$7</f>
        <v>0</v>
      </c>
      <c r="E270" s="3" t="s">
        <v>165</v>
      </c>
      <c r="F270" s="3" t="s">
        <v>164</v>
      </c>
      <c r="G270" s="3" t="s">
        <v>167</v>
      </c>
      <c r="H270" s="3" t="s">
        <v>560</v>
      </c>
      <c r="I270" s="19">
        <f>SUMIF('14 Detailed Results'!$A$5:$A$35,F270,'14 Detailed Results'!$D$5:$D$35)</f>
        <v>0</v>
      </c>
      <c r="J270" s="3" t="s">
        <v>61</v>
      </c>
      <c r="K270" s="3"/>
      <c r="L270" s="3"/>
      <c r="M270" s="3"/>
      <c r="N270" s="3" t="str">
        <f t="shared" si="24"/>
        <v>Not provided</v>
      </c>
      <c r="O270" s="3"/>
      <c r="P270" s="3" t="s">
        <v>43</v>
      </c>
      <c r="Q270">
        <f>IF('14 Detailed Results'!O29="","",'14 Detailed Results'!O29)</f>
        <v>0</v>
      </c>
      <c r="R270">
        <f>IF('14 Detailed Results'!P29="","",'14 Detailed Results'!P29)</f>
        <v>0</v>
      </c>
      <c r="S270">
        <f>IF('14 Detailed Results'!Q29="","",'14 Detailed Results'!Q29)</f>
        <v>0</v>
      </c>
      <c r="T270" t="str">
        <f>IF('14 Detailed Results'!R29="","",'14 Detailed Results'!R29)</f>
        <v>Not applicable</v>
      </c>
      <c r="U270" t="str">
        <f>IF('14 Detailed Results'!S29="","",'14 Detailed Results'!S29)</f>
        <v/>
      </c>
    </row>
    <row r="271" spans="1:21">
      <c r="A271" s="3">
        <f>'02 Hospice Setup'!$B$5</f>
        <v>0</v>
      </c>
      <c r="B271" s="3" t="str">
        <f>'02 Hospice Setup'!$H$5</f>
        <v>Version 5.1</v>
      </c>
      <c r="C271" s="3" t="str">
        <f>'02 Hospice Setup'!$E$6</f>
        <v>Actual</v>
      </c>
      <c r="D271" s="18">
        <f>'02 Hospice Setup'!$H$7</f>
        <v>0</v>
      </c>
      <c r="E271" s="3" t="s">
        <v>165</v>
      </c>
      <c r="F271" s="3" t="s">
        <v>164</v>
      </c>
      <c r="G271" s="3" t="s">
        <v>167</v>
      </c>
      <c r="H271" s="3" t="s">
        <v>570</v>
      </c>
      <c r="I271" s="19">
        <f>SUMIF('14 Detailed Results'!$A$5:$A$35,F271,'14 Detailed Results'!$E$5:$E$35)</f>
        <v>0</v>
      </c>
      <c r="J271" s="3" t="s">
        <v>61</v>
      </c>
      <c r="K271" s="3"/>
      <c r="L271" s="3"/>
      <c r="M271" s="3"/>
      <c r="N271" s="3" t="str">
        <f t="shared" si="24"/>
        <v>Not provided</v>
      </c>
      <c r="O271" s="3"/>
      <c r="P271" s="3" t="s">
        <v>43</v>
      </c>
      <c r="Q271">
        <f>IF('14 Detailed Results'!O29="","",'14 Detailed Results'!O29)</f>
        <v>0</v>
      </c>
      <c r="R271">
        <f>IF('14 Detailed Results'!P29="","",'14 Detailed Results'!P29)</f>
        <v>0</v>
      </c>
      <c r="S271">
        <f>IF('14 Detailed Results'!Q29="","",'14 Detailed Results'!Q29)</f>
        <v>0</v>
      </c>
      <c r="T271" t="str">
        <f>IF('14 Detailed Results'!R29="","",'14 Detailed Results'!R29)</f>
        <v>Not applicable</v>
      </c>
      <c r="U271" t="str">
        <f>IF('14 Detailed Results'!S29="","",'14 Detailed Results'!S29)</f>
        <v/>
      </c>
    </row>
    <row r="272" spans="1:21">
      <c r="A272" s="3">
        <f>'02 Hospice Setup'!$B$5</f>
        <v>0</v>
      </c>
      <c r="B272" s="3" t="str">
        <f>'02 Hospice Setup'!$H$5</f>
        <v>Version 5.1</v>
      </c>
      <c r="C272" s="3" t="str">
        <f>'02 Hospice Setup'!$E$6</f>
        <v>Actual</v>
      </c>
      <c r="D272" s="18">
        <f>'02 Hospice Setup'!$H$7</f>
        <v>0</v>
      </c>
      <c r="E272" s="3" t="s">
        <v>165</v>
      </c>
      <c r="F272" s="3" t="s">
        <v>164</v>
      </c>
      <c r="G272" s="3" t="s">
        <v>167</v>
      </c>
      <c r="H272" s="3" t="s">
        <v>561</v>
      </c>
      <c r="I272" s="19">
        <f>SUMIF('14 Detailed Results'!$A$5:$A$35,F272,'14 Detailed Results'!$F$5:$F$35)</f>
        <v>0</v>
      </c>
      <c r="J272" s="3" t="s">
        <v>61</v>
      </c>
      <c r="K272" s="3"/>
      <c r="L272" s="3"/>
      <c r="M272" s="3"/>
      <c r="N272" s="3" t="str">
        <f t="shared" si="24"/>
        <v>Not provided</v>
      </c>
      <c r="O272" s="3"/>
      <c r="P272" s="3" t="s">
        <v>43</v>
      </c>
      <c r="Q272">
        <f>IF('14 Detailed Results'!O29="","",'14 Detailed Results'!O29)</f>
        <v>0</v>
      </c>
      <c r="R272">
        <f>IF('14 Detailed Results'!P29="","",'14 Detailed Results'!P29)</f>
        <v>0</v>
      </c>
      <c r="S272">
        <f>IF('14 Detailed Results'!Q29="","",'14 Detailed Results'!Q29)</f>
        <v>0</v>
      </c>
      <c r="T272" t="str">
        <f>IF('14 Detailed Results'!R29="","",'14 Detailed Results'!R29)</f>
        <v>Not applicable</v>
      </c>
      <c r="U272" t="str">
        <f>IF('14 Detailed Results'!S29="","",'14 Detailed Results'!S29)</f>
        <v/>
      </c>
    </row>
    <row r="273" spans="1:21">
      <c r="A273" s="3">
        <f>'02 Hospice Setup'!$B$5</f>
        <v>0</v>
      </c>
      <c r="B273" s="3" t="str">
        <f>'02 Hospice Setup'!$H$5</f>
        <v>Version 5.1</v>
      </c>
      <c r="C273" s="3" t="str">
        <f>'02 Hospice Setup'!$E$6</f>
        <v>Actual</v>
      </c>
      <c r="D273" s="18">
        <f>'02 Hospice Setup'!$H$7</f>
        <v>0</v>
      </c>
      <c r="E273" s="3" t="s">
        <v>165</v>
      </c>
      <c r="F273" s="3" t="s">
        <v>164</v>
      </c>
      <c r="G273" s="3" t="s">
        <v>167</v>
      </c>
      <c r="H273" s="3" t="s">
        <v>382</v>
      </c>
      <c r="I273" s="19">
        <f>SUMIF('14 Detailed Results'!$A$5:$A$35,F273,'14 Detailed Results'!$G$5:$G$35)</f>
        <v>0</v>
      </c>
      <c r="J273" s="3" t="s">
        <v>672</v>
      </c>
      <c r="K273" s="3"/>
      <c r="L273" s="3"/>
      <c r="M273" s="3"/>
      <c r="N273" s="3" t="str">
        <f t="shared" si="24"/>
        <v>Not provided</v>
      </c>
      <c r="O273" s="3"/>
      <c r="P273" s="3" t="s">
        <v>43</v>
      </c>
      <c r="Q273">
        <f>IF('14 Detailed Results'!O29="","",'14 Detailed Results'!O29)</f>
        <v>0</v>
      </c>
      <c r="R273">
        <f>IF('14 Detailed Results'!P29="","",'14 Detailed Results'!P29)</f>
        <v>0</v>
      </c>
      <c r="S273">
        <f>IF('14 Detailed Results'!Q29="","",'14 Detailed Results'!Q29)</f>
        <v>0</v>
      </c>
      <c r="T273" t="str">
        <f>IF('14 Detailed Results'!R29="","",'14 Detailed Results'!R29)</f>
        <v>Not applicable</v>
      </c>
      <c r="U273" t="str">
        <f>IF('14 Detailed Results'!S29="","",'14 Detailed Results'!S29)</f>
        <v/>
      </c>
    </row>
    <row r="274" spans="1:21">
      <c r="A274" s="3">
        <f>'02 Hospice Setup'!$B$5</f>
        <v>0</v>
      </c>
      <c r="B274" s="3" t="str">
        <f>'02 Hospice Setup'!$H$5</f>
        <v>Version 5.1</v>
      </c>
      <c r="C274" s="3" t="str">
        <f>'02 Hospice Setup'!$E$6</f>
        <v>Actual</v>
      </c>
      <c r="D274" s="18">
        <f>'02 Hospice Setup'!$H$7</f>
        <v>0</v>
      </c>
      <c r="E274" s="3" t="s">
        <v>165</v>
      </c>
      <c r="F274" s="3" t="s">
        <v>164</v>
      </c>
      <c r="G274" s="3" t="s">
        <v>167</v>
      </c>
      <c r="H274" s="3" t="s">
        <v>386</v>
      </c>
      <c r="I274" s="19">
        <f>SUMIF('14 Detailed Results'!$A$5:$A$35,F274,'14 Detailed Results'!$H$5:$H$35)</f>
        <v>0</v>
      </c>
      <c r="J274" s="3" t="s">
        <v>672</v>
      </c>
      <c r="K274" s="3"/>
      <c r="L274" s="3"/>
      <c r="M274" s="3"/>
      <c r="N274" s="3" t="str">
        <f t="shared" si="24"/>
        <v>Not provided</v>
      </c>
      <c r="O274" s="3"/>
      <c r="P274" s="3" t="s">
        <v>43</v>
      </c>
      <c r="Q274">
        <f>IF('14 Detailed Results'!O29="","",'14 Detailed Results'!O29)</f>
        <v>0</v>
      </c>
      <c r="R274">
        <f>IF('14 Detailed Results'!P29="","",'14 Detailed Results'!P29)</f>
        <v>0</v>
      </c>
      <c r="S274">
        <f>IF('14 Detailed Results'!Q29="","",'14 Detailed Results'!Q29)</f>
        <v>0</v>
      </c>
      <c r="T274" t="str">
        <f>IF('14 Detailed Results'!R29="","",'14 Detailed Results'!R29)</f>
        <v>Not applicable</v>
      </c>
      <c r="U274" t="str">
        <f>IF('14 Detailed Results'!S29="","",'14 Detailed Results'!S29)</f>
        <v/>
      </c>
    </row>
    <row r="275" spans="1:21">
      <c r="A275" s="3">
        <f>'02 Hospice Setup'!$B$5</f>
        <v>0</v>
      </c>
      <c r="B275" s="3" t="str">
        <f>'02 Hospice Setup'!$H$5</f>
        <v>Version 5.1</v>
      </c>
      <c r="C275" s="3" t="str">
        <f>'02 Hospice Setup'!$E$6</f>
        <v>Actual</v>
      </c>
      <c r="D275" s="18">
        <f>'02 Hospice Setup'!$H$7</f>
        <v>0</v>
      </c>
      <c r="E275" s="3" t="s">
        <v>165</v>
      </c>
      <c r="F275" s="3" t="s">
        <v>164</v>
      </c>
      <c r="G275" s="3" t="s">
        <v>167</v>
      </c>
      <c r="H275" s="3" t="s">
        <v>704</v>
      </c>
      <c r="I275" s="19">
        <f>SUMIF('14 Detailed Results'!$A$5:$A$35,F275,'14 Detailed Results'!$I$5:$I$35)</f>
        <v>0</v>
      </c>
      <c r="J275" s="3" t="s">
        <v>61</v>
      </c>
      <c r="K275" s="3"/>
      <c r="L275" s="3"/>
      <c r="M275" s="3"/>
      <c r="N275" s="3" t="str">
        <f t="shared" si="24"/>
        <v>Not provided</v>
      </c>
      <c r="O275" s="3"/>
      <c r="P275" s="3" t="s">
        <v>43</v>
      </c>
      <c r="Q275">
        <f>IF('14 Detailed Results'!O29="","",'14 Detailed Results'!O29)</f>
        <v>0</v>
      </c>
      <c r="R275">
        <f>IF('14 Detailed Results'!P29="","",'14 Detailed Results'!P29)</f>
        <v>0</v>
      </c>
      <c r="S275">
        <f>IF('14 Detailed Results'!Q29="","",'14 Detailed Results'!Q29)</f>
        <v>0</v>
      </c>
      <c r="T275" t="str">
        <f>IF('14 Detailed Results'!R29="","",'14 Detailed Results'!R29)</f>
        <v>Not applicable</v>
      </c>
      <c r="U275" t="str">
        <f>IF('14 Detailed Results'!S29="","",'14 Detailed Results'!S29)</f>
        <v/>
      </c>
    </row>
    <row r="276" spans="1:21">
      <c r="A276" s="3">
        <f>'02 Hospice Setup'!$B$5</f>
        <v>0</v>
      </c>
      <c r="B276" s="3" t="str">
        <f>'02 Hospice Setup'!$H$5</f>
        <v>Version 5.1</v>
      </c>
      <c r="C276" s="3" t="str">
        <f>'02 Hospice Setup'!$E$6</f>
        <v>Actual</v>
      </c>
      <c r="D276" s="18">
        <f>'02 Hospice Setup'!$H$7</f>
        <v>0</v>
      </c>
      <c r="E276" s="3" t="s">
        <v>165</v>
      </c>
      <c r="F276" s="3" t="s">
        <v>164</v>
      </c>
      <c r="G276" s="3" t="s">
        <v>167</v>
      </c>
      <c r="H276" s="3" t="s">
        <v>705</v>
      </c>
      <c r="I276" s="19">
        <f>SUMIF('14 Detailed Results'!$A$5:$A$35,F276,'14 Detailed Results'!$J$5:$J$35)</f>
        <v>0</v>
      </c>
      <c r="J276" s="3" t="s">
        <v>61</v>
      </c>
      <c r="K276" s="3"/>
      <c r="L276" s="3"/>
      <c r="M276" s="3"/>
      <c r="N276" s="3" t="str">
        <f t="shared" si="24"/>
        <v>Not provided</v>
      </c>
      <c r="O276" s="3"/>
      <c r="P276" s="3" t="s">
        <v>43</v>
      </c>
      <c r="Q276">
        <f>IF('14 Detailed Results'!O29="","",'14 Detailed Results'!O29)</f>
        <v>0</v>
      </c>
      <c r="R276">
        <f>IF('14 Detailed Results'!P29="","",'14 Detailed Results'!P29)</f>
        <v>0</v>
      </c>
      <c r="S276">
        <f>IF('14 Detailed Results'!Q29="","",'14 Detailed Results'!Q29)</f>
        <v>0</v>
      </c>
      <c r="T276" t="str">
        <f>IF('14 Detailed Results'!R29="","",'14 Detailed Results'!R29)</f>
        <v>Not applicable</v>
      </c>
      <c r="U276" t="str">
        <f>IF('14 Detailed Results'!S29="","",'14 Detailed Results'!S29)</f>
        <v/>
      </c>
    </row>
    <row r="277" spans="1:21">
      <c r="A277" s="3">
        <f>'02 Hospice Setup'!$B$5</f>
        <v>0</v>
      </c>
      <c r="B277" s="3" t="str">
        <f>'02 Hospice Setup'!$H$5</f>
        <v>Version 5.1</v>
      </c>
      <c r="C277" s="3" t="str">
        <f>'02 Hospice Setup'!$E$6</f>
        <v>Actual</v>
      </c>
      <c r="D277" s="18">
        <f>'02 Hospice Setup'!$H$7</f>
        <v>0</v>
      </c>
      <c r="E277" s="3" t="s">
        <v>165</v>
      </c>
      <c r="F277" s="3" t="s">
        <v>164</v>
      </c>
      <c r="G277" s="3" t="s">
        <v>167</v>
      </c>
      <c r="H277" s="3" t="s">
        <v>564</v>
      </c>
      <c r="I277" s="19">
        <f>SUMIF('14 Detailed Results'!$A$5:$A$35,F277,'14 Detailed Results'!$K$5:$K$35)</f>
        <v>0</v>
      </c>
      <c r="J277" s="3" t="s">
        <v>706</v>
      </c>
      <c r="K277" s="3"/>
      <c r="L277" s="3"/>
      <c r="M277" s="3"/>
      <c r="N277" s="3" t="str">
        <f t="shared" si="24"/>
        <v>Not provided</v>
      </c>
      <c r="O277" s="3"/>
      <c r="P277" s="3" t="s">
        <v>43</v>
      </c>
      <c r="Q277">
        <f>IF('14 Detailed Results'!O29="","",'14 Detailed Results'!O29)</f>
        <v>0</v>
      </c>
      <c r="R277">
        <f>IF('14 Detailed Results'!P29="","",'14 Detailed Results'!P29)</f>
        <v>0</v>
      </c>
      <c r="S277">
        <f>IF('14 Detailed Results'!Q29="","",'14 Detailed Results'!Q29)</f>
        <v>0</v>
      </c>
      <c r="T277" t="str">
        <f>IF('14 Detailed Results'!R29="","",'14 Detailed Results'!R29)</f>
        <v>Not applicable</v>
      </c>
      <c r="U277" t="str">
        <f>IF('14 Detailed Results'!S29="","",'14 Detailed Results'!S29)</f>
        <v/>
      </c>
    </row>
    <row r="278" spans="1:21">
      <c r="A278" s="3">
        <f>'02 Hospice Setup'!$B$5</f>
        <v>0</v>
      </c>
      <c r="B278" s="3" t="str">
        <f>'02 Hospice Setup'!$H$5</f>
        <v>Version 5.1</v>
      </c>
      <c r="C278" s="3" t="str">
        <f>'02 Hospice Setup'!$E$6</f>
        <v>Actual</v>
      </c>
      <c r="D278" s="18">
        <f>'02 Hospice Setup'!$H$7</f>
        <v>0</v>
      </c>
      <c r="E278" s="3" t="s">
        <v>165</v>
      </c>
      <c r="F278" s="3" t="s">
        <v>164</v>
      </c>
      <c r="G278" s="3" t="s">
        <v>167</v>
      </c>
      <c r="H278" s="3" t="s">
        <v>708</v>
      </c>
      <c r="I278" s="19">
        <f>SUMIF('14 Detailed Results'!$A$5:$A$35,F278,'14 Detailed Results'!$L$5:$L$35)</f>
        <v>0</v>
      </c>
      <c r="J278" s="3" t="s">
        <v>427</v>
      </c>
      <c r="K278" s="3"/>
      <c r="L278" s="3"/>
      <c r="M278" s="3"/>
      <c r="N278" s="3" t="str">
        <f>IF(SUMIF('14 Detailed Results'!$A$5:$A$35,F278,'14 Detailed Results'!$F$5:$F$35)=0,"Not provided",IF(I278=0,"Not available","Complete"))</f>
        <v>Not provided</v>
      </c>
      <c r="O278" s="3" t="s">
        <v>709</v>
      </c>
      <c r="P278" s="3" t="s">
        <v>43</v>
      </c>
      <c r="Q278">
        <f>IF('14 Detailed Results'!O29="","",'14 Detailed Results'!O29)</f>
        <v>0</v>
      </c>
      <c r="R278">
        <f>IF('14 Detailed Results'!P29="","",'14 Detailed Results'!P29)</f>
        <v>0</v>
      </c>
      <c r="S278">
        <f>IF('14 Detailed Results'!Q29="","",'14 Detailed Results'!Q29)</f>
        <v>0</v>
      </c>
      <c r="T278" t="str">
        <f>IF('14 Detailed Results'!R29="","",'14 Detailed Results'!R29)</f>
        <v>Not applicable</v>
      </c>
      <c r="U278" t="str">
        <f>IF('14 Detailed Results'!S29="","",'14 Detailed Results'!S29)</f>
        <v/>
      </c>
    </row>
    <row r="279" spans="1:21">
      <c r="A279" s="3">
        <f>'02 Hospice Setup'!$B$5</f>
        <v>0</v>
      </c>
      <c r="B279" s="3" t="str">
        <f>'02 Hospice Setup'!$H$5</f>
        <v>Version 5.1</v>
      </c>
      <c r="C279" s="3" t="str">
        <f>'02 Hospice Setup'!$E$6</f>
        <v>Actual</v>
      </c>
      <c r="D279" s="18">
        <f>'02 Hospice Setup'!$H$7</f>
        <v>0</v>
      </c>
      <c r="E279" s="3" t="s">
        <v>165</v>
      </c>
      <c r="F279" s="3" t="s">
        <v>164</v>
      </c>
      <c r="G279" s="3" t="s">
        <v>167</v>
      </c>
      <c r="H279" s="3" t="s">
        <v>710</v>
      </c>
      <c r="I279" s="19">
        <f>SUMIF('14 Detailed Results'!$A$5:$A$35,F279,'14 Detailed Results'!$M$5:$M$35)</f>
        <v>0</v>
      </c>
      <c r="J279" s="3" t="s">
        <v>61</v>
      </c>
      <c r="K279" s="3"/>
      <c r="L279" s="3"/>
      <c r="M279" s="3"/>
      <c r="N279" s="3" t="str">
        <f>IF(SUMIF('14 Detailed Results'!$A$5:$A$35,F279,'14 Detailed Results'!$F$5:$F$35)=0,"Not provided",IF(I279=0,"Not available","Complete"))</f>
        <v>Not provided</v>
      </c>
      <c r="O279" s="3"/>
      <c r="P279" s="3" t="s">
        <v>43</v>
      </c>
      <c r="Q279">
        <f>IF('14 Detailed Results'!O29="","",'14 Detailed Results'!O29)</f>
        <v>0</v>
      </c>
      <c r="R279">
        <f>IF('14 Detailed Results'!P29="","",'14 Detailed Results'!P29)</f>
        <v>0</v>
      </c>
      <c r="S279">
        <f>IF('14 Detailed Results'!Q29="","",'14 Detailed Results'!Q29)</f>
        <v>0</v>
      </c>
      <c r="T279" t="str">
        <f>IF('14 Detailed Results'!R29="","",'14 Detailed Results'!R29)</f>
        <v>Not applicable</v>
      </c>
      <c r="U279" t="str">
        <f>IF('14 Detailed Results'!S29="","",'14 Detailed Results'!S29)</f>
        <v/>
      </c>
    </row>
    <row r="280" spans="1:21">
      <c r="A280" s="3">
        <f>'02 Hospice Setup'!$B$5</f>
        <v>0</v>
      </c>
      <c r="B280" s="3" t="str">
        <f>'02 Hospice Setup'!$H$5</f>
        <v>Version 5.1</v>
      </c>
      <c r="C280" s="3" t="str">
        <f>'02 Hospice Setup'!$E$6</f>
        <v>Actual</v>
      </c>
      <c r="D280" s="18">
        <f>'02 Hospice Setup'!$H$7</f>
        <v>0</v>
      </c>
      <c r="E280" s="3" t="s">
        <v>165</v>
      </c>
      <c r="F280" s="3" t="s">
        <v>168</v>
      </c>
      <c r="G280" s="3" t="s">
        <v>169</v>
      </c>
      <c r="H280" s="3" t="s">
        <v>559</v>
      </c>
      <c r="I280" s="19">
        <f>SUMIF('14 Detailed Results'!$A$5:$A$35,F280,'14 Detailed Results'!$C$5:$C$35)</f>
        <v>0</v>
      </c>
      <c r="J280" s="3" t="s">
        <v>61</v>
      </c>
      <c r="K280" s="3"/>
      <c r="L280" s="3"/>
      <c r="M280" s="3"/>
      <c r="N280" s="3" t="str">
        <f t="shared" ref="N280:N288" si="25">IF(I280=0,"Not provided","Complete")</f>
        <v>Not provided</v>
      </c>
      <c r="O280" s="3"/>
      <c r="P280" s="3" t="s">
        <v>43</v>
      </c>
      <c r="Q280">
        <f>IF('14 Detailed Results'!O30="","",'14 Detailed Results'!O30)</f>
        <v>0</v>
      </c>
      <c r="R280">
        <f>IF('14 Detailed Results'!P30="","",'14 Detailed Results'!P30)</f>
        <v>0</v>
      </c>
      <c r="S280">
        <f>IF('14 Detailed Results'!Q30="","",'14 Detailed Results'!Q30)</f>
        <v>0</v>
      </c>
      <c r="T280" t="str">
        <f>IF('14 Detailed Results'!R30="","",'14 Detailed Results'!R30)</f>
        <v>Not applicable</v>
      </c>
      <c r="U280" t="str">
        <f>IF('14 Detailed Results'!S30="","",'14 Detailed Results'!S30)</f>
        <v/>
      </c>
    </row>
    <row r="281" spans="1:21">
      <c r="A281" s="3">
        <f>'02 Hospice Setup'!$B$5</f>
        <v>0</v>
      </c>
      <c r="B281" s="3" t="str">
        <f>'02 Hospice Setup'!$H$5</f>
        <v>Version 5.1</v>
      </c>
      <c r="C281" s="3" t="str">
        <f>'02 Hospice Setup'!$E$6</f>
        <v>Actual</v>
      </c>
      <c r="D281" s="18">
        <f>'02 Hospice Setup'!$H$7</f>
        <v>0</v>
      </c>
      <c r="E281" s="3" t="s">
        <v>165</v>
      </c>
      <c r="F281" s="3" t="s">
        <v>168</v>
      </c>
      <c r="G281" s="3" t="s">
        <v>169</v>
      </c>
      <c r="H281" s="3" t="s">
        <v>560</v>
      </c>
      <c r="I281" s="19">
        <f>SUMIF('14 Detailed Results'!$A$5:$A$35,F281,'14 Detailed Results'!$D$5:$D$35)</f>
        <v>0</v>
      </c>
      <c r="J281" s="3" t="s">
        <v>61</v>
      </c>
      <c r="K281" s="3"/>
      <c r="L281" s="3"/>
      <c r="M281" s="3"/>
      <c r="N281" s="3" t="str">
        <f t="shared" si="25"/>
        <v>Not provided</v>
      </c>
      <c r="O281" s="3"/>
      <c r="P281" s="3" t="s">
        <v>43</v>
      </c>
      <c r="Q281">
        <f>IF('14 Detailed Results'!O30="","",'14 Detailed Results'!O30)</f>
        <v>0</v>
      </c>
      <c r="R281">
        <f>IF('14 Detailed Results'!P30="","",'14 Detailed Results'!P30)</f>
        <v>0</v>
      </c>
      <c r="S281">
        <f>IF('14 Detailed Results'!Q30="","",'14 Detailed Results'!Q30)</f>
        <v>0</v>
      </c>
      <c r="T281" t="str">
        <f>IF('14 Detailed Results'!R30="","",'14 Detailed Results'!R30)</f>
        <v>Not applicable</v>
      </c>
      <c r="U281" t="str">
        <f>IF('14 Detailed Results'!S30="","",'14 Detailed Results'!S30)</f>
        <v/>
      </c>
    </row>
    <row r="282" spans="1:21">
      <c r="A282" s="3">
        <f>'02 Hospice Setup'!$B$5</f>
        <v>0</v>
      </c>
      <c r="B282" s="3" t="str">
        <f>'02 Hospice Setup'!$H$5</f>
        <v>Version 5.1</v>
      </c>
      <c r="C282" s="3" t="str">
        <f>'02 Hospice Setup'!$E$6</f>
        <v>Actual</v>
      </c>
      <c r="D282" s="18">
        <f>'02 Hospice Setup'!$H$7</f>
        <v>0</v>
      </c>
      <c r="E282" s="3" t="s">
        <v>165</v>
      </c>
      <c r="F282" s="3" t="s">
        <v>168</v>
      </c>
      <c r="G282" s="3" t="s">
        <v>169</v>
      </c>
      <c r="H282" s="3" t="s">
        <v>570</v>
      </c>
      <c r="I282" s="19">
        <f>SUMIF('14 Detailed Results'!$A$5:$A$35,F282,'14 Detailed Results'!$E$5:$E$35)</f>
        <v>0</v>
      </c>
      <c r="J282" s="3" t="s">
        <v>61</v>
      </c>
      <c r="K282" s="3"/>
      <c r="L282" s="3"/>
      <c r="M282" s="3"/>
      <c r="N282" s="3" t="str">
        <f t="shared" si="25"/>
        <v>Not provided</v>
      </c>
      <c r="O282" s="3"/>
      <c r="P282" s="3" t="s">
        <v>43</v>
      </c>
      <c r="Q282">
        <f>IF('14 Detailed Results'!O30="","",'14 Detailed Results'!O30)</f>
        <v>0</v>
      </c>
      <c r="R282">
        <f>IF('14 Detailed Results'!P30="","",'14 Detailed Results'!P30)</f>
        <v>0</v>
      </c>
      <c r="S282">
        <f>IF('14 Detailed Results'!Q30="","",'14 Detailed Results'!Q30)</f>
        <v>0</v>
      </c>
      <c r="T282" t="str">
        <f>IF('14 Detailed Results'!R30="","",'14 Detailed Results'!R30)</f>
        <v>Not applicable</v>
      </c>
      <c r="U282" t="str">
        <f>IF('14 Detailed Results'!S30="","",'14 Detailed Results'!S30)</f>
        <v/>
      </c>
    </row>
    <row r="283" spans="1:21">
      <c r="A283" s="3">
        <f>'02 Hospice Setup'!$B$5</f>
        <v>0</v>
      </c>
      <c r="B283" s="3" t="str">
        <f>'02 Hospice Setup'!$H$5</f>
        <v>Version 5.1</v>
      </c>
      <c r="C283" s="3" t="str">
        <f>'02 Hospice Setup'!$E$6</f>
        <v>Actual</v>
      </c>
      <c r="D283" s="18">
        <f>'02 Hospice Setup'!$H$7</f>
        <v>0</v>
      </c>
      <c r="E283" s="3" t="s">
        <v>165</v>
      </c>
      <c r="F283" s="3" t="s">
        <v>168</v>
      </c>
      <c r="G283" s="3" t="s">
        <v>169</v>
      </c>
      <c r="H283" s="3" t="s">
        <v>561</v>
      </c>
      <c r="I283" s="19">
        <f>SUMIF('14 Detailed Results'!$A$5:$A$35,F283,'14 Detailed Results'!$F$5:$F$35)</f>
        <v>0</v>
      </c>
      <c r="J283" s="3" t="s">
        <v>61</v>
      </c>
      <c r="K283" s="3"/>
      <c r="L283" s="3"/>
      <c r="M283" s="3"/>
      <c r="N283" s="3" t="str">
        <f t="shared" si="25"/>
        <v>Not provided</v>
      </c>
      <c r="O283" s="3"/>
      <c r="P283" s="3" t="s">
        <v>43</v>
      </c>
      <c r="Q283">
        <f>IF('14 Detailed Results'!O30="","",'14 Detailed Results'!O30)</f>
        <v>0</v>
      </c>
      <c r="R283">
        <f>IF('14 Detailed Results'!P30="","",'14 Detailed Results'!P30)</f>
        <v>0</v>
      </c>
      <c r="S283">
        <f>IF('14 Detailed Results'!Q30="","",'14 Detailed Results'!Q30)</f>
        <v>0</v>
      </c>
      <c r="T283" t="str">
        <f>IF('14 Detailed Results'!R30="","",'14 Detailed Results'!R30)</f>
        <v>Not applicable</v>
      </c>
      <c r="U283" t="str">
        <f>IF('14 Detailed Results'!S30="","",'14 Detailed Results'!S30)</f>
        <v/>
      </c>
    </row>
    <row r="284" spans="1:21">
      <c r="A284" s="3">
        <f>'02 Hospice Setup'!$B$5</f>
        <v>0</v>
      </c>
      <c r="B284" s="3" t="str">
        <f>'02 Hospice Setup'!$H$5</f>
        <v>Version 5.1</v>
      </c>
      <c r="C284" s="3" t="str">
        <f>'02 Hospice Setup'!$E$6</f>
        <v>Actual</v>
      </c>
      <c r="D284" s="18">
        <f>'02 Hospice Setup'!$H$7</f>
        <v>0</v>
      </c>
      <c r="E284" s="3" t="s">
        <v>165</v>
      </c>
      <c r="F284" s="3" t="s">
        <v>168</v>
      </c>
      <c r="G284" s="3" t="s">
        <v>169</v>
      </c>
      <c r="H284" s="3" t="s">
        <v>382</v>
      </c>
      <c r="I284" s="19">
        <f>SUMIF('14 Detailed Results'!$A$5:$A$35,F284,'14 Detailed Results'!$G$5:$G$35)</f>
        <v>0</v>
      </c>
      <c r="J284" s="3" t="s">
        <v>672</v>
      </c>
      <c r="K284" s="3"/>
      <c r="L284" s="3"/>
      <c r="M284" s="3"/>
      <c r="N284" s="3" t="str">
        <f t="shared" si="25"/>
        <v>Not provided</v>
      </c>
      <c r="O284" s="3"/>
      <c r="P284" s="3" t="s">
        <v>43</v>
      </c>
      <c r="Q284">
        <f>IF('14 Detailed Results'!O30="","",'14 Detailed Results'!O30)</f>
        <v>0</v>
      </c>
      <c r="R284">
        <f>IF('14 Detailed Results'!P30="","",'14 Detailed Results'!P30)</f>
        <v>0</v>
      </c>
      <c r="S284">
        <f>IF('14 Detailed Results'!Q30="","",'14 Detailed Results'!Q30)</f>
        <v>0</v>
      </c>
      <c r="T284" t="str">
        <f>IF('14 Detailed Results'!R30="","",'14 Detailed Results'!R30)</f>
        <v>Not applicable</v>
      </c>
      <c r="U284" t="str">
        <f>IF('14 Detailed Results'!S30="","",'14 Detailed Results'!S30)</f>
        <v/>
      </c>
    </row>
    <row r="285" spans="1:21">
      <c r="A285" s="3">
        <f>'02 Hospice Setup'!$B$5</f>
        <v>0</v>
      </c>
      <c r="B285" s="3" t="str">
        <f>'02 Hospice Setup'!$H$5</f>
        <v>Version 5.1</v>
      </c>
      <c r="C285" s="3" t="str">
        <f>'02 Hospice Setup'!$E$6</f>
        <v>Actual</v>
      </c>
      <c r="D285" s="18">
        <f>'02 Hospice Setup'!$H$7</f>
        <v>0</v>
      </c>
      <c r="E285" s="3" t="s">
        <v>165</v>
      </c>
      <c r="F285" s="3" t="s">
        <v>168</v>
      </c>
      <c r="G285" s="3" t="s">
        <v>169</v>
      </c>
      <c r="H285" s="3" t="s">
        <v>386</v>
      </c>
      <c r="I285" s="19">
        <f>SUMIF('14 Detailed Results'!$A$5:$A$35,F285,'14 Detailed Results'!$H$5:$H$35)</f>
        <v>0</v>
      </c>
      <c r="J285" s="3" t="s">
        <v>672</v>
      </c>
      <c r="K285" s="3"/>
      <c r="L285" s="3"/>
      <c r="M285" s="3"/>
      <c r="N285" s="3" t="str">
        <f t="shared" si="25"/>
        <v>Not provided</v>
      </c>
      <c r="O285" s="3"/>
      <c r="P285" s="3" t="s">
        <v>43</v>
      </c>
      <c r="Q285">
        <f>IF('14 Detailed Results'!O30="","",'14 Detailed Results'!O30)</f>
        <v>0</v>
      </c>
      <c r="R285">
        <f>IF('14 Detailed Results'!P30="","",'14 Detailed Results'!P30)</f>
        <v>0</v>
      </c>
      <c r="S285">
        <f>IF('14 Detailed Results'!Q30="","",'14 Detailed Results'!Q30)</f>
        <v>0</v>
      </c>
      <c r="T285" t="str">
        <f>IF('14 Detailed Results'!R30="","",'14 Detailed Results'!R30)</f>
        <v>Not applicable</v>
      </c>
      <c r="U285" t="str">
        <f>IF('14 Detailed Results'!S30="","",'14 Detailed Results'!S30)</f>
        <v/>
      </c>
    </row>
    <row r="286" spans="1:21">
      <c r="A286" s="3">
        <f>'02 Hospice Setup'!$B$5</f>
        <v>0</v>
      </c>
      <c r="B286" s="3" t="str">
        <f>'02 Hospice Setup'!$H$5</f>
        <v>Version 5.1</v>
      </c>
      <c r="C286" s="3" t="str">
        <f>'02 Hospice Setup'!$E$6</f>
        <v>Actual</v>
      </c>
      <c r="D286" s="18">
        <f>'02 Hospice Setup'!$H$7</f>
        <v>0</v>
      </c>
      <c r="E286" s="3" t="s">
        <v>165</v>
      </c>
      <c r="F286" s="3" t="s">
        <v>168</v>
      </c>
      <c r="G286" s="3" t="s">
        <v>169</v>
      </c>
      <c r="H286" s="3" t="s">
        <v>704</v>
      </c>
      <c r="I286" s="19">
        <f>SUMIF('14 Detailed Results'!$A$5:$A$35,F286,'14 Detailed Results'!$I$5:$I$35)</f>
        <v>0</v>
      </c>
      <c r="J286" s="3" t="s">
        <v>61</v>
      </c>
      <c r="K286" s="3"/>
      <c r="L286" s="3"/>
      <c r="M286" s="3"/>
      <c r="N286" s="3" t="str">
        <f t="shared" si="25"/>
        <v>Not provided</v>
      </c>
      <c r="O286" s="3"/>
      <c r="P286" s="3" t="s">
        <v>43</v>
      </c>
      <c r="Q286">
        <f>IF('14 Detailed Results'!O30="","",'14 Detailed Results'!O30)</f>
        <v>0</v>
      </c>
      <c r="R286">
        <f>IF('14 Detailed Results'!P30="","",'14 Detailed Results'!P30)</f>
        <v>0</v>
      </c>
      <c r="S286">
        <f>IF('14 Detailed Results'!Q30="","",'14 Detailed Results'!Q30)</f>
        <v>0</v>
      </c>
      <c r="T286" t="str">
        <f>IF('14 Detailed Results'!R30="","",'14 Detailed Results'!R30)</f>
        <v>Not applicable</v>
      </c>
      <c r="U286" t="str">
        <f>IF('14 Detailed Results'!S30="","",'14 Detailed Results'!S30)</f>
        <v/>
      </c>
    </row>
    <row r="287" spans="1:21">
      <c r="A287" s="3">
        <f>'02 Hospice Setup'!$B$5</f>
        <v>0</v>
      </c>
      <c r="B287" s="3" t="str">
        <f>'02 Hospice Setup'!$H$5</f>
        <v>Version 5.1</v>
      </c>
      <c r="C287" s="3" t="str">
        <f>'02 Hospice Setup'!$E$6</f>
        <v>Actual</v>
      </c>
      <c r="D287" s="18">
        <f>'02 Hospice Setup'!$H$7</f>
        <v>0</v>
      </c>
      <c r="E287" s="3" t="s">
        <v>165</v>
      </c>
      <c r="F287" s="3" t="s">
        <v>168</v>
      </c>
      <c r="G287" s="3" t="s">
        <v>169</v>
      </c>
      <c r="H287" s="3" t="s">
        <v>705</v>
      </c>
      <c r="I287" s="19">
        <f>SUMIF('14 Detailed Results'!$A$5:$A$35,F287,'14 Detailed Results'!$J$5:$J$35)</f>
        <v>0</v>
      </c>
      <c r="J287" s="3" t="s">
        <v>61</v>
      </c>
      <c r="K287" s="3"/>
      <c r="L287" s="3"/>
      <c r="M287" s="3"/>
      <c r="N287" s="3" t="str">
        <f t="shared" si="25"/>
        <v>Not provided</v>
      </c>
      <c r="O287" s="3"/>
      <c r="P287" s="3" t="s">
        <v>43</v>
      </c>
      <c r="Q287">
        <f>IF('14 Detailed Results'!O30="","",'14 Detailed Results'!O30)</f>
        <v>0</v>
      </c>
      <c r="R287">
        <f>IF('14 Detailed Results'!P30="","",'14 Detailed Results'!P30)</f>
        <v>0</v>
      </c>
      <c r="S287">
        <f>IF('14 Detailed Results'!Q30="","",'14 Detailed Results'!Q30)</f>
        <v>0</v>
      </c>
      <c r="T287" t="str">
        <f>IF('14 Detailed Results'!R30="","",'14 Detailed Results'!R30)</f>
        <v>Not applicable</v>
      </c>
      <c r="U287" t="str">
        <f>IF('14 Detailed Results'!S30="","",'14 Detailed Results'!S30)</f>
        <v/>
      </c>
    </row>
    <row r="288" spans="1:21">
      <c r="A288" s="3">
        <f>'02 Hospice Setup'!$B$5</f>
        <v>0</v>
      </c>
      <c r="B288" s="3" t="str">
        <f>'02 Hospice Setup'!$H$5</f>
        <v>Version 5.1</v>
      </c>
      <c r="C288" s="3" t="str">
        <f>'02 Hospice Setup'!$E$6</f>
        <v>Actual</v>
      </c>
      <c r="D288" s="18">
        <f>'02 Hospice Setup'!$H$7</f>
        <v>0</v>
      </c>
      <c r="E288" s="3" t="s">
        <v>165</v>
      </c>
      <c r="F288" s="3" t="s">
        <v>168</v>
      </c>
      <c r="G288" s="3" t="s">
        <v>169</v>
      </c>
      <c r="H288" s="3" t="s">
        <v>564</v>
      </c>
      <c r="I288" s="19">
        <f>SUMIF('14 Detailed Results'!$A$5:$A$35,F288,'14 Detailed Results'!$K$5:$K$35)</f>
        <v>0</v>
      </c>
      <c r="J288" s="3" t="s">
        <v>706</v>
      </c>
      <c r="K288" s="3"/>
      <c r="L288" s="3"/>
      <c r="M288" s="3"/>
      <c r="N288" s="3" t="str">
        <f t="shared" si="25"/>
        <v>Not provided</v>
      </c>
      <c r="O288" s="3"/>
      <c r="P288" s="3" t="s">
        <v>43</v>
      </c>
      <c r="Q288">
        <f>IF('14 Detailed Results'!O30="","",'14 Detailed Results'!O30)</f>
        <v>0</v>
      </c>
      <c r="R288">
        <f>IF('14 Detailed Results'!P30="","",'14 Detailed Results'!P30)</f>
        <v>0</v>
      </c>
      <c r="S288">
        <f>IF('14 Detailed Results'!Q30="","",'14 Detailed Results'!Q30)</f>
        <v>0</v>
      </c>
      <c r="T288" t="str">
        <f>IF('14 Detailed Results'!R30="","",'14 Detailed Results'!R30)</f>
        <v>Not applicable</v>
      </c>
      <c r="U288" t="str">
        <f>IF('14 Detailed Results'!S30="","",'14 Detailed Results'!S30)</f>
        <v/>
      </c>
    </row>
    <row r="289" spans="1:21">
      <c r="A289" s="3">
        <f>'02 Hospice Setup'!$B$5</f>
        <v>0</v>
      </c>
      <c r="B289" s="3" t="str">
        <f>'02 Hospice Setup'!$H$5</f>
        <v>Version 5.1</v>
      </c>
      <c r="C289" s="3" t="str">
        <f>'02 Hospice Setup'!$E$6</f>
        <v>Actual</v>
      </c>
      <c r="D289" s="18">
        <f>'02 Hospice Setup'!$H$7</f>
        <v>0</v>
      </c>
      <c r="E289" s="3" t="s">
        <v>165</v>
      </c>
      <c r="F289" s="3" t="s">
        <v>168</v>
      </c>
      <c r="G289" s="3" t="s">
        <v>169</v>
      </c>
      <c r="H289" s="3" t="s">
        <v>708</v>
      </c>
      <c r="I289" s="19">
        <f>SUMIF('14 Detailed Results'!$A$5:$A$35,F289,'14 Detailed Results'!$L$5:$L$35)</f>
        <v>0</v>
      </c>
      <c r="J289" s="3" t="s">
        <v>427</v>
      </c>
      <c r="K289" s="3"/>
      <c r="L289" s="3"/>
      <c r="M289" s="3"/>
      <c r="N289" s="3" t="str">
        <f>IF(SUMIF('14 Detailed Results'!$A$5:$A$35,F289,'14 Detailed Results'!$F$5:$F$35)=0,"Not provided",IF(I289=0,"Not available","Complete"))</f>
        <v>Not provided</v>
      </c>
      <c r="O289" s="3" t="s">
        <v>709</v>
      </c>
      <c r="P289" s="3" t="s">
        <v>43</v>
      </c>
      <c r="Q289">
        <f>IF('14 Detailed Results'!O30="","",'14 Detailed Results'!O30)</f>
        <v>0</v>
      </c>
      <c r="R289">
        <f>IF('14 Detailed Results'!P30="","",'14 Detailed Results'!P30)</f>
        <v>0</v>
      </c>
      <c r="S289">
        <f>IF('14 Detailed Results'!Q30="","",'14 Detailed Results'!Q30)</f>
        <v>0</v>
      </c>
      <c r="T289" t="str">
        <f>IF('14 Detailed Results'!R30="","",'14 Detailed Results'!R30)</f>
        <v>Not applicable</v>
      </c>
      <c r="U289" t="str">
        <f>IF('14 Detailed Results'!S30="","",'14 Detailed Results'!S30)</f>
        <v/>
      </c>
    </row>
    <row r="290" spans="1:21">
      <c r="A290" s="3">
        <f>'02 Hospice Setup'!$B$5</f>
        <v>0</v>
      </c>
      <c r="B290" s="3" t="str">
        <f>'02 Hospice Setup'!$H$5</f>
        <v>Version 5.1</v>
      </c>
      <c r="C290" s="3" t="str">
        <f>'02 Hospice Setup'!$E$6</f>
        <v>Actual</v>
      </c>
      <c r="D290" s="18">
        <f>'02 Hospice Setup'!$H$7</f>
        <v>0</v>
      </c>
      <c r="E290" s="3" t="s">
        <v>165</v>
      </c>
      <c r="F290" s="3" t="s">
        <v>168</v>
      </c>
      <c r="G290" s="3" t="s">
        <v>169</v>
      </c>
      <c r="H290" s="3" t="s">
        <v>710</v>
      </c>
      <c r="I290" s="19">
        <f>SUMIF('14 Detailed Results'!$A$5:$A$35,F290,'14 Detailed Results'!$M$5:$M$35)</f>
        <v>0</v>
      </c>
      <c r="J290" s="3" t="s">
        <v>61</v>
      </c>
      <c r="K290" s="3"/>
      <c r="L290" s="3"/>
      <c r="M290" s="3"/>
      <c r="N290" s="3" t="str">
        <f>IF(SUMIF('14 Detailed Results'!$A$5:$A$35,F290,'14 Detailed Results'!$F$5:$F$35)=0,"Not provided",IF(I290=0,"Not available","Complete"))</f>
        <v>Not provided</v>
      </c>
      <c r="O290" s="3"/>
      <c r="P290" s="3" t="s">
        <v>43</v>
      </c>
      <c r="Q290">
        <f>IF('14 Detailed Results'!O30="","",'14 Detailed Results'!O30)</f>
        <v>0</v>
      </c>
      <c r="R290">
        <f>IF('14 Detailed Results'!P30="","",'14 Detailed Results'!P30)</f>
        <v>0</v>
      </c>
      <c r="S290">
        <f>IF('14 Detailed Results'!Q30="","",'14 Detailed Results'!Q30)</f>
        <v>0</v>
      </c>
      <c r="T290" t="str">
        <f>IF('14 Detailed Results'!R30="","",'14 Detailed Results'!R30)</f>
        <v>Not applicable</v>
      </c>
      <c r="U290" t="str">
        <f>IF('14 Detailed Results'!S30="","",'14 Detailed Results'!S30)</f>
        <v/>
      </c>
    </row>
    <row r="291" spans="1:21">
      <c r="A291" s="3">
        <f>'02 Hospice Setup'!$B$5</f>
        <v>0</v>
      </c>
      <c r="B291" s="3" t="str">
        <f>'02 Hospice Setup'!$H$5</f>
        <v>Version 5.1</v>
      </c>
      <c r="C291" s="3" t="str">
        <f>'02 Hospice Setup'!$E$6</f>
        <v>Actual</v>
      </c>
      <c r="D291" s="18">
        <f>'02 Hospice Setup'!$H$7</f>
        <v>0</v>
      </c>
      <c r="E291" s="3" t="s">
        <v>165</v>
      </c>
      <c r="F291" s="3" t="s">
        <v>170</v>
      </c>
      <c r="G291" s="3" t="s">
        <v>166</v>
      </c>
      <c r="H291" s="3" t="s">
        <v>559</v>
      </c>
      <c r="I291" s="19">
        <f>SUMIF('14 Detailed Results'!$A$5:$A$35,F291,'14 Detailed Results'!$C$5:$C$35)</f>
        <v>0</v>
      </c>
      <c r="J291" s="3" t="s">
        <v>61</v>
      </c>
      <c r="K291" s="3"/>
      <c r="L291" s="3"/>
      <c r="M291" s="3"/>
      <c r="N291" s="3" t="str">
        <f t="shared" ref="N291:N299" si="26">IF(I291=0,"Not provided","Complete")</f>
        <v>Not provided</v>
      </c>
      <c r="O291" s="3"/>
      <c r="P291" s="3" t="s">
        <v>43</v>
      </c>
      <c r="Q291">
        <f>IF('14 Detailed Results'!O31="","",'14 Detailed Results'!O31)</f>
        <v>0</v>
      </c>
      <c r="R291">
        <f>IF('14 Detailed Results'!P31="","",'14 Detailed Results'!P31)</f>
        <v>0</v>
      </c>
      <c r="S291">
        <f>IF('14 Detailed Results'!Q31="","",'14 Detailed Results'!Q31)</f>
        <v>0</v>
      </c>
      <c r="T291" t="str">
        <f>IF('14 Detailed Results'!R31="","",'14 Detailed Results'!R31)</f>
        <v>Not applicable</v>
      </c>
      <c r="U291" t="str">
        <f>IF('14 Detailed Results'!S31="","",'14 Detailed Results'!S31)</f>
        <v/>
      </c>
    </row>
    <row r="292" spans="1:21">
      <c r="A292" s="3">
        <f>'02 Hospice Setup'!$B$5</f>
        <v>0</v>
      </c>
      <c r="B292" s="3" t="str">
        <f>'02 Hospice Setup'!$H$5</f>
        <v>Version 5.1</v>
      </c>
      <c r="C292" s="3" t="str">
        <f>'02 Hospice Setup'!$E$6</f>
        <v>Actual</v>
      </c>
      <c r="D292" s="18">
        <f>'02 Hospice Setup'!$H$7</f>
        <v>0</v>
      </c>
      <c r="E292" s="3" t="s">
        <v>165</v>
      </c>
      <c r="F292" s="3" t="s">
        <v>170</v>
      </c>
      <c r="G292" s="3" t="s">
        <v>166</v>
      </c>
      <c r="H292" s="3" t="s">
        <v>560</v>
      </c>
      <c r="I292" s="19">
        <f>SUMIF('14 Detailed Results'!$A$5:$A$35,F292,'14 Detailed Results'!$D$5:$D$35)</f>
        <v>0</v>
      </c>
      <c r="J292" s="3" t="s">
        <v>61</v>
      </c>
      <c r="K292" s="3"/>
      <c r="L292" s="3"/>
      <c r="M292" s="3"/>
      <c r="N292" s="3" t="str">
        <f t="shared" si="26"/>
        <v>Not provided</v>
      </c>
      <c r="O292" s="3"/>
      <c r="P292" s="3" t="s">
        <v>43</v>
      </c>
      <c r="Q292">
        <f>IF('14 Detailed Results'!O31="","",'14 Detailed Results'!O31)</f>
        <v>0</v>
      </c>
      <c r="R292">
        <f>IF('14 Detailed Results'!P31="","",'14 Detailed Results'!P31)</f>
        <v>0</v>
      </c>
      <c r="S292">
        <f>IF('14 Detailed Results'!Q31="","",'14 Detailed Results'!Q31)</f>
        <v>0</v>
      </c>
      <c r="T292" t="str">
        <f>IF('14 Detailed Results'!R31="","",'14 Detailed Results'!R31)</f>
        <v>Not applicable</v>
      </c>
      <c r="U292" t="str">
        <f>IF('14 Detailed Results'!S31="","",'14 Detailed Results'!S31)</f>
        <v/>
      </c>
    </row>
    <row r="293" spans="1:21">
      <c r="A293" s="3">
        <f>'02 Hospice Setup'!$B$5</f>
        <v>0</v>
      </c>
      <c r="B293" s="3" t="str">
        <f>'02 Hospice Setup'!$H$5</f>
        <v>Version 5.1</v>
      </c>
      <c r="C293" s="3" t="str">
        <f>'02 Hospice Setup'!$E$6</f>
        <v>Actual</v>
      </c>
      <c r="D293" s="18">
        <f>'02 Hospice Setup'!$H$7</f>
        <v>0</v>
      </c>
      <c r="E293" s="3" t="s">
        <v>165</v>
      </c>
      <c r="F293" s="3" t="s">
        <v>170</v>
      </c>
      <c r="G293" s="3" t="s">
        <v>166</v>
      </c>
      <c r="H293" s="3" t="s">
        <v>570</v>
      </c>
      <c r="I293" s="19">
        <f>SUMIF('14 Detailed Results'!$A$5:$A$35,F293,'14 Detailed Results'!$E$5:$E$35)</f>
        <v>0</v>
      </c>
      <c r="J293" s="3" t="s">
        <v>61</v>
      </c>
      <c r="K293" s="3"/>
      <c r="L293" s="3"/>
      <c r="M293" s="3"/>
      <c r="N293" s="3" t="str">
        <f t="shared" si="26"/>
        <v>Not provided</v>
      </c>
      <c r="O293" s="3"/>
      <c r="P293" s="3" t="s">
        <v>43</v>
      </c>
      <c r="Q293">
        <f>IF('14 Detailed Results'!O31="","",'14 Detailed Results'!O31)</f>
        <v>0</v>
      </c>
      <c r="R293">
        <f>IF('14 Detailed Results'!P31="","",'14 Detailed Results'!P31)</f>
        <v>0</v>
      </c>
      <c r="S293">
        <f>IF('14 Detailed Results'!Q31="","",'14 Detailed Results'!Q31)</f>
        <v>0</v>
      </c>
      <c r="T293" t="str">
        <f>IF('14 Detailed Results'!R31="","",'14 Detailed Results'!R31)</f>
        <v>Not applicable</v>
      </c>
      <c r="U293" t="str">
        <f>IF('14 Detailed Results'!S31="","",'14 Detailed Results'!S31)</f>
        <v/>
      </c>
    </row>
    <row r="294" spans="1:21">
      <c r="A294" s="3">
        <f>'02 Hospice Setup'!$B$5</f>
        <v>0</v>
      </c>
      <c r="B294" s="3" t="str">
        <f>'02 Hospice Setup'!$H$5</f>
        <v>Version 5.1</v>
      </c>
      <c r="C294" s="3" t="str">
        <f>'02 Hospice Setup'!$E$6</f>
        <v>Actual</v>
      </c>
      <c r="D294" s="18">
        <f>'02 Hospice Setup'!$H$7</f>
        <v>0</v>
      </c>
      <c r="E294" s="3" t="s">
        <v>165</v>
      </c>
      <c r="F294" s="3" t="s">
        <v>170</v>
      </c>
      <c r="G294" s="3" t="s">
        <v>166</v>
      </c>
      <c r="H294" s="3" t="s">
        <v>561</v>
      </c>
      <c r="I294" s="19">
        <f>SUMIF('14 Detailed Results'!$A$5:$A$35,F294,'14 Detailed Results'!$F$5:$F$35)</f>
        <v>0</v>
      </c>
      <c r="J294" s="3" t="s">
        <v>61</v>
      </c>
      <c r="K294" s="3"/>
      <c r="L294" s="3"/>
      <c r="M294" s="3"/>
      <c r="N294" s="3" t="str">
        <f t="shared" si="26"/>
        <v>Not provided</v>
      </c>
      <c r="O294" s="3"/>
      <c r="P294" s="3" t="s">
        <v>43</v>
      </c>
      <c r="Q294">
        <f>IF('14 Detailed Results'!O31="","",'14 Detailed Results'!O31)</f>
        <v>0</v>
      </c>
      <c r="R294">
        <f>IF('14 Detailed Results'!P31="","",'14 Detailed Results'!P31)</f>
        <v>0</v>
      </c>
      <c r="S294">
        <f>IF('14 Detailed Results'!Q31="","",'14 Detailed Results'!Q31)</f>
        <v>0</v>
      </c>
      <c r="T294" t="str">
        <f>IF('14 Detailed Results'!R31="","",'14 Detailed Results'!R31)</f>
        <v>Not applicable</v>
      </c>
      <c r="U294" t="str">
        <f>IF('14 Detailed Results'!S31="","",'14 Detailed Results'!S31)</f>
        <v/>
      </c>
    </row>
    <row r="295" spans="1:21">
      <c r="A295" s="3">
        <f>'02 Hospice Setup'!$B$5</f>
        <v>0</v>
      </c>
      <c r="B295" s="3" t="str">
        <f>'02 Hospice Setup'!$H$5</f>
        <v>Version 5.1</v>
      </c>
      <c r="C295" s="3" t="str">
        <f>'02 Hospice Setup'!$E$6</f>
        <v>Actual</v>
      </c>
      <c r="D295" s="18">
        <f>'02 Hospice Setup'!$H$7</f>
        <v>0</v>
      </c>
      <c r="E295" s="3" t="s">
        <v>165</v>
      </c>
      <c r="F295" s="3" t="s">
        <v>170</v>
      </c>
      <c r="G295" s="3" t="s">
        <v>166</v>
      </c>
      <c r="H295" s="3" t="s">
        <v>382</v>
      </c>
      <c r="I295" s="19">
        <f>SUMIF('14 Detailed Results'!$A$5:$A$35,F295,'14 Detailed Results'!$G$5:$G$35)</f>
        <v>0</v>
      </c>
      <c r="J295" s="3" t="s">
        <v>672</v>
      </c>
      <c r="K295" s="3"/>
      <c r="L295" s="3"/>
      <c r="M295" s="3"/>
      <c r="N295" s="3" t="str">
        <f t="shared" si="26"/>
        <v>Not provided</v>
      </c>
      <c r="O295" s="3"/>
      <c r="P295" s="3" t="s">
        <v>43</v>
      </c>
      <c r="Q295">
        <f>IF('14 Detailed Results'!O31="","",'14 Detailed Results'!O31)</f>
        <v>0</v>
      </c>
      <c r="R295">
        <f>IF('14 Detailed Results'!P31="","",'14 Detailed Results'!P31)</f>
        <v>0</v>
      </c>
      <c r="S295">
        <f>IF('14 Detailed Results'!Q31="","",'14 Detailed Results'!Q31)</f>
        <v>0</v>
      </c>
      <c r="T295" t="str">
        <f>IF('14 Detailed Results'!R31="","",'14 Detailed Results'!R31)</f>
        <v>Not applicable</v>
      </c>
      <c r="U295" t="str">
        <f>IF('14 Detailed Results'!S31="","",'14 Detailed Results'!S31)</f>
        <v/>
      </c>
    </row>
    <row r="296" spans="1:21">
      <c r="A296" s="3">
        <f>'02 Hospice Setup'!$B$5</f>
        <v>0</v>
      </c>
      <c r="B296" s="3" t="str">
        <f>'02 Hospice Setup'!$H$5</f>
        <v>Version 5.1</v>
      </c>
      <c r="C296" s="3" t="str">
        <f>'02 Hospice Setup'!$E$6</f>
        <v>Actual</v>
      </c>
      <c r="D296" s="18">
        <f>'02 Hospice Setup'!$H$7</f>
        <v>0</v>
      </c>
      <c r="E296" s="3" t="s">
        <v>165</v>
      </c>
      <c r="F296" s="3" t="s">
        <v>170</v>
      </c>
      <c r="G296" s="3" t="s">
        <v>166</v>
      </c>
      <c r="H296" s="3" t="s">
        <v>386</v>
      </c>
      <c r="I296" s="19">
        <f>SUMIF('14 Detailed Results'!$A$5:$A$35,F296,'14 Detailed Results'!$H$5:$H$35)</f>
        <v>0</v>
      </c>
      <c r="J296" s="3" t="s">
        <v>672</v>
      </c>
      <c r="K296" s="3"/>
      <c r="L296" s="3"/>
      <c r="M296" s="3"/>
      <c r="N296" s="3" t="str">
        <f t="shared" si="26"/>
        <v>Not provided</v>
      </c>
      <c r="O296" s="3"/>
      <c r="P296" s="3" t="s">
        <v>43</v>
      </c>
      <c r="Q296">
        <f>IF('14 Detailed Results'!O31="","",'14 Detailed Results'!O31)</f>
        <v>0</v>
      </c>
      <c r="R296">
        <f>IF('14 Detailed Results'!P31="","",'14 Detailed Results'!P31)</f>
        <v>0</v>
      </c>
      <c r="S296">
        <f>IF('14 Detailed Results'!Q31="","",'14 Detailed Results'!Q31)</f>
        <v>0</v>
      </c>
      <c r="T296" t="str">
        <f>IF('14 Detailed Results'!R31="","",'14 Detailed Results'!R31)</f>
        <v>Not applicable</v>
      </c>
      <c r="U296" t="str">
        <f>IF('14 Detailed Results'!S31="","",'14 Detailed Results'!S31)</f>
        <v/>
      </c>
    </row>
    <row r="297" spans="1:21">
      <c r="A297" s="3">
        <f>'02 Hospice Setup'!$B$5</f>
        <v>0</v>
      </c>
      <c r="B297" s="3" t="str">
        <f>'02 Hospice Setup'!$H$5</f>
        <v>Version 5.1</v>
      </c>
      <c r="C297" s="3" t="str">
        <f>'02 Hospice Setup'!$E$6</f>
        <v>Actual</v>
      </c>
      <c r="D297" s="18">
        <f>'02 Hospice Setup'!$H$7</f>
        <v>0</v>
      </c>
      <c r="E297" s="3" t="s">
        <v>165</v>
      </c>
      <c r="F297" s="3" t="s">
        <v>170</v>
      </c>
      <c r="G297" s="3" t="s">
        <v>166</v>
      </c>
      <c r="H297" s="3" t="s">
        <v>704</v>
      </c>
      <c r="I297" s="19">
        <f>SUMIF('14 Detailed Results'!$A$5:$A$35,F297,'14 Detailed Results'!$I$5:$I$35)</f>
        <v>0</v>
      </c>
      <c r="J297" s="3" t="s">
        <v>61</v>
      </c>
      <c r="K297" s="3"/>
      <c r="L297" s="3"/>
      <c r="M297" s="3"/>
      <c r="N297" s="3" t="str">
        <f t="shared" si="26"/>
        <v>Not provided</v>
      </c>
      <c r="O297" s="3"/>
      <c r="P297" s="3" t="s">
        <v>43</v>
      </c>
      <c r="Q297">
        <f>IF('14 Detailed Results'!O31="","",'14 Detailed Results'!O31)</f>
        <v>0</v>
      </c>
      <c r="R297">
        <f>IF('14 Detailed Results'!P31="","",'14 Detailed Results'!P31)</f>
        <v>0</v>
      </c>
      <c r="S297">
        <f>IF('14 Detailed Results'!Q31="","",'14 Detailed Results'!Q31)</f>
        <v>0</v>
      </c>
      <c r="T297" t="str">
        <f>IF('14 Detailed Results'!R31="","",'14 Detailed Results'!R31)</f>
        <v>Not applicable</v>
      </c>
      <c r="U297" t="str">
        <f>IF('14 Detailed Results'!S31="","",'14 Detailed Results'!S31)</f>
        <v/>
      </c>
    </row>
    <row r="298" spans="1:21">
      <c r="A298" s="3">
        <f>'02 Hospice Setup'!$B$5</f>
        <v>0</v>
      </c>
      <c r="B298" s="3" t="str">
        <f>'02 Hospice Setup'!$H$5</f>
        <v>Version 5.1</v>
      </c>
      <c r="C298" s="3" t="str">
        <f>'02 Hospice Setup'!$E$6</f>
        <v>Actual</v>
      </c>
      <c r="D298" s="18">
        <f>'02 Hospice Setup'!$H$7</f>
        <v>0</v>
      </c>
      <c r="E298" s="3" t="s">
        <v>165</v>
      </c>
      <c r="F298" s="3" t="s">
        <v>170</v>
      </c>
      <c r="G298" s="3" t="s">
        <v>166</v>
      </c>
      <c r="H298" s="3" t="s">
        <v>705</v>
      </c>
      <c r="I298" s="19">
        <f>SUMIF('14 Detailed Results'!$A$5:$A$35,F298,'14 Detailed Results'!$J$5:$J$35)</f>
        <v>0</v>
      </c>
      <c r="J298" s="3" t="s">
        <v>61</v>
      </c>
      <c r="K298" s="3"/>
      <c r="L298" s="3"/>
      <c r="M298" s="3"/>
      <c r="N298" s="3" t="str">
        <f t="shared" si="26"/>
        <v>Not provided</v>
      </c>
      <c r="O298" s="3"/>
      <c r="P298" s="3" t="s">
        <v>43</v>
      </c>
      <c r="Q298">
        <f>IF('14 Detailed Results'!O31="","",'14 Detailed Results'!O31)</f>
        <v>0</v>
      </c>
      <c r="R298">
        <f>IF('14 Detailed Results'!P31="","",'14 Detailed Results'!P31)</f>
        <v>0</v>
      </c>
      <c r="S298">
        <f>IF('14 Detailed Results'!Q31="","",'14 Detailed Results'!Q31)</f>
        <v>0</v>
      </c>
      <c r="T298" t="str">
        <f>IF('14 Detailed Results'!R31="","",'14 Detailed Results'!R31)</f>
        <v>Not applicable</v>
      </c>
      <c r="U298" t="str">
        <f>IF('14 Detailed Results'!S31="","",'14 Detailed Results'!S31)</f>
        <v/>
      </c>
    </row>
    <row r="299" spans="1:21">
      <c r="A299" s="3">
        <f>'02 Hospice Setup'!$B$5</f>
        <v>0</v>
      </c>
      <c r="B299" s="3" t="str">
        <f>'02 Hospice Setup'!$H$5</f>
        <v>Version 5.1</v>
      </c>
      <c r="C299" s="3" t="str">
        <f>'02 Hospice Setup'!$E$6</f>
        <v>Actual</v>
      </c>
      <c r="D299" s="18">
        <f>'02 Hospice Setup'!$H$7</f>
        <v>0</v>
      </c>
      <c r="E299" s="3" t="s">
        <v>165</v>
      </c>
      <c r="F299" s="3" t="s">
        <v>170</v>
      </c>
      <c r="G299" s="3" t="s">
        <v>166</v>
      </c>
      <c r="H299" s="3" t="s">
        <v>564</v>
      </c>
      <c r="I299" s="19">
        <f>SUMIF('14 Detailed Results'!$A$5:$A$35,F299,'14 Detailed Results'!$K$5:$K$35)</f>
        <v>0</v>
      </c>
      <c r="J299" s="3" t="s">
        <v>706</v>
      </c>
      <c r="K299" s="3"/>
      <c r="L299" s="3"/>
      <c r="M299" s="3"/>
      <c r="N299" s="3" t="str">
        <f t="shared" si="26"/>
        <v>Not provided</v>
      </c>
      <c r="O299" s="3"/>
      <c r="P299" s="3" t="s">
        <v>43</v>
      </c>
      <c r="Q299">
        <f>IF('14 Detailed Results'!O31="","",'14 Detailed Results'!O31)</f>
        <v>0</v>
      </c>
      <c r="R299">
        <f>IF('14 Detailed Results'!P31="","",'14 Detailed Results'!P31)</f>
        <v>0</v>
      </c>
      <c r="S299">
        <f>IF('14 Detailed Results'!Q31="","",'14 Detailed Results'!Q31)</f>
        <v>0</v>
      </c>
      <c r="T299" t="str">
        <f>IF('14 Detailed Results'!R31="","",'14 Detailed Results'!R31)</f>
        <v>Not applicable</v>
      </c>
      <c r="U299" t="str">
        <f>IF('14 Detailed Results'!S31="","",'14 Detailed Results'!S31)</f>
        <v/>
      </c>
    </row>
    <row r="300" spans="1:21">
      <c r="A300" s="3">
        <f>'02 Hospice Setup'!$B$5</f>
        <v>0</v>
      </c>
      <c r="B300" s="3" t="str">
        <f>'02 Hospice Setup'!$H$5</f>
        <v>Version 5.1</v>
      </c>
      <c r="C300" s="3" t="str">
        <f>'02 Hospice Setup'!$E$6</f>
        <v>Actual</v>
      </c>
      <c r="D300" s="18">
        <f>'02 Hospice Setup'!$H$7</f>
        <v>0</v>
      </c>
      <c r="E300" s="3" t="s">
        <v>165</v>
      </c>
      <c r="F300" s="3" t="s">
        <v>170</v>
      </c>
      <c r="G300" s="3" t="s">
        <v>166</v>
      </c>
      <c r="H300" s="3" t="s">
        <v>708</v>
      </c>
      <c r="I300" s="19">
        <f>SUMIF('14 Detailed Results'!$A$5:$A$35,F300,'14 Detailed Results'!$L$5:$L$35)</f>
        <v>0</v>
      </c>
      <c r="J300" s="3" t="s">
        <v>427</v>
      </c>
      <c r="K300" s="3"/>
      <c r="L300" s="3"/>
      <c r="M300" s="3"/>
      <c r="N300" s="3" t="str">
        <f>IF(SUMIF('14 Detailed Results'!$A$5:$A$35,F300,'14 Detailed Results'!$F$5:$F$35)=0,"Not provided",IF(I300=0,"Not available","Complete"))</f>
        <v>Not provided</v>
      </c>
      <c r="O300" s="3" t="s">
        <v>709</v>
      </c>
      <c r="P300" s="3" t="s">
        <v>43</v>
      </c>
      <c r="Q300">
        <f>IF('14 Detailed Results'!O31="","",'14 Detailed Results'!O31)</f>
        <v>0</v>
      </c>
      <c r="R300">
        <f>IF('14 Detailed Results'!P31="","",'14 Detailed Results'!P31)</f>
        <v>0</v>
      </c>
      <c r="S300">
        <f>IF('14 Detailed Results'!Q31="","",'14 Detailed Results'!Q31)</f>
        <v>0</v>
      </c>
      <c r="T300" t="str">
        <f>IF('14 Detailed Results'!R31="","",'14 Detailed Results'!R31)</f>
        <v>Not applicable</v>
      </c>
      <c r="U300" t="str">
        <f>IF('14 Detailed Results'!S31="","",'14 Detailed Results'!S31)</f>
        <v/>
      </c>
    </row>
    <row r="301" spans="1:21">
      <c r="A301" s="3">
        <f>'02 Hospice Setup'!$B$5</f>
        <v>0</v>
      </c>
      <c r="B301" s="3" t="str">
        <f>'02 Hospice Setup'!$H$5</f>
        <v>Version 5.1</v>
      </c>
      <c r="C301" s="3" t="str">
        <f>'02 Hospice Setup'!$E$6</f>
        <v>Actual</v>
      </c>
      <c r="D301" s="18">
        <f>'02 Hospice Setup'!$H$7</f>
        <v>0</v>
      </c>
      <c r="E301" s="3" t="s">
        <v>165</v>
      </c>
      <c r="F301" s="3" t="s">
        <v>170</v>
      </c>
      <c r="G301" s="3" t="s">
        <v>166</v>
      </c>
      <c r="H301" s="3" t="s">
        <v>710</v>
      </c>
      <c r="I301" s="19">
        <f>SUMIF('14 Detailed Results'!$A$5:$A$35,F301,'14 Detailed Results'!$M$5:$M$35)</f>
        <v>0</v>
      </c>
      <c r="J301" s="3" t="s">
        <v>61</v>
      </c>
      <c r="K301" s="3"/>
      <c r="L301" s="3"/>
      <c r="M301" s="3"/>
      <c r="N301" s="3" t="str">
        <f>IF(SUMIF('14 Detailed Results'!$A$5:$A$35,F301,'14 Detailed Results'!$F$5:$F$35)=0,"Not provided",IF(I301=0,"Not available","Complete"))</f>
        <v>Not provided</v>
      </c>
      <c r="O301" s="3"/>
      <c r="P301" s="3" t="s">
        <v>43</v>
      </c>
      <c r="Q301">
        <f>IF('14 Detailed Results'!O31="","",'14 Detailed Results'!O31)</f>
        <v>0</v>
      </c>
      <c r="R301">
        <f>IF('14 Detailed Results'!P31="","",'14 Detailed Results'!P31)</f>
        <v>0</v>
      </c>
      <c r="S301">
        <f>IF('14 Detailed Results'!Q31="","",'14 Detailed Results'!Q31)</f>
        <v>0</v>
      </c>
      <c r="T301" t="str">
        <f>IF('14 Detailed Results'!R31="","",'14 Detailed Results'!R31)</f>
        <v>Not applicable</v>
      </c>
      <c r="U301" t="str">
        <f>IF('14 Detailed Results'!S31="","",'14 Detailed Results'!S31)</f>
        <v/>
      </c>
    </row>
    <row r="302" spans="1:21">
      <c r="A302" s="3">
        <f>'02 Hospice Setup'!$B$5</f>
        <v>0</v>
      </c>
      <c r="B302" s="3" t="str">
        <f>'02 Hospice Setup'!$H$5</f>
        <v>Version 5.1</v>
      </c>
      <c r="C302" s="3" t="str">
        <f>'02 Hospice Setup'!$E$6</f>
        <v>Actual</v>
      </c>
      <c r="D302" s="18">
        <f>'02 Hospice Setup'!$H$7</f>
        <v>0</v>
      </c>
      <c r="E302" s="3" t="s">
        <v>676</v>
      </c>
      <c r="F302" s="3" t="s">
        <v>294</v>
      </c>
      <c r="G302" s="3" t="s">
        <v>295</v>
      </c>
      <c r="H302" s="3" t="s">
        <v>559</v>
      </c>
      <c r="I302" s="19">
        <f>SUMIF('14 Detailed Results'!$A$5:$A$35,F302,'14 Detailed Results'!$C$5:$C$35)</f>
        <v>0</v>
      </c>
      <c r="J302" s="3" t="s">
        <v>61</v>
      </c>
      <c r="K302" s="3"/>
      <c r="L302" s="3"/>
      <c r="M302" s="3"/>
      <c r="N302" s="3" t="str">
        <f t="shared" ref="N302:N310" si="27">IF(I302=0,"Not provided","Complete")</f>
        <v>Not provided</v>
      </c>
      <c r="O302" s="3"/>
      <c r="P302" s="3" t="s">
        <v>43</v>
      </c>
      <c r="Q302">
        <f>IF('14 Detailed Results'!O32="","",'14 Detailed Results'!O32)</f>
        <v>0</v>
      </c>
      <c r="R302">
        <f>IF('14 Detailed Results'!P32="","",'14 Detailed Results'!P32)</f>
        <v>0</v>
      </c>
      <c r="S302">
        <f>IF('14 Detailed Results'!Q32="","",'14 Detailed Results'!Q32)</f>
        <v>0</v>
      </c>
      <c r="T302" t="str">
        <f>IF('14 Detailed Results'!R32="","",'14 Detailed Results'!R32)</f>
        <v>Not applicable</v>
      </c>
      <c r="U302" t="str">
        <f>IF('14 Detailed Results'!S32="","",'14 Detailed Results'!S32)</f>
        <v/>
      </c>
    </row>
    <row r="303" spans="1:21">
      <c r="A303" s="3">
        <f>'02 Hospice Setup'!$B$5</f>
        <v>0</v>
      </c>
      <c r="B303" s="3" t="str">
        <f>'02 Hospice Setup'!$H$5</f>
        <v>Version 5.1</v>
      </c>
      <c r="C303" s="3" t="str">
        <f>'02 Hospice Setup'!$E$6</f>
        <v>Actual</v>
      </c>
      <c r="D303" s="18">
        <f>'02 Hospice Setup'!$H$7</f>
        <v>0</v>
      </c>
      <c r="E303" s="3" t="s">
        <v>676</v>
      </c>
      <c r="F303" s="3" t="s">
        <v>294</v>
      </c>
      <c r="G303" s="3" t="s">
        <v>295</v>
      </c>
      <c r="H303" s="3" t="s">
        <v>560</v>
      </c>
      <c r="I303" s="19">
        <f>SUMIF('14 Detailed Results'!$A$5:$A$35,F303,'14 Detailed Results'!$D$5:$D$35)</f>
        <v>0</v>
      </c>
      <c r="J303" s="3" t="s">
        <v>61</v>
      </c>
      <c r="K303" s="3"/>
      <c r="L303" s="3"/>
      <c r="M303" s="3"/>
      <c r="N303" s="3" t="str">
        <f t="shared" si="27"/>
        <v>Not provided</v>
      </c>
      <c r="O303" s="3"/>
      <c r="P303" s="3" t="s">
        <v>43</v>
      </c>
      <c r="Q303">
        <f>IF('14 Detailed Results'!O32="","",'14 Detailed Results'!O32)</f>
        <v>0</v>
      </c>
      <c r="R303">
        <f>IF('14 Detailed Results'!P32="","",'14 Detailed Results'!P32)</f>
        <v>0</v>
      </c>
      <c r="S303">
        <f>IF('14 Detailed Results'!Q32="","",'14 Detailed Results'!Q32)</f>
        <v>0</v>
      </c>
      <c r="T303" t="str">
        <f>IF('14 Detailed Results'!R32="","",'14 Detailed Results'!R32)</f>
        <v>Not applicable</v>
      </c>
      <c r="U303" t="str">
        <f>IF('14 Detailed Results'!S32="","",'14 Detailed Results'!S32)</f>
        <v/>
      </c>
    </row>
    <row r="304" spans="1:21">
      <c r="A304" s="3">
        <f>'02 Hospice Setup'!$B$5</f>
        <v>0</v>
      </c>
      <c r="B304" s="3" t="str">
        <f>'02 Hospice Setup'!$H$5</f>
        <v>Version 5.1</v>
      </c>
      <c r="C304" s="3" t="str">
        <f>'02 Hospice Setup'!$E$6</f>
        <v>Actual</v>
      </c>
      <c r="D304" s="18">
        <f>'02 Hospice Setup'!$H$7</f>
        <v>0</v>
      </c>
      <c r="E304" s="3" t="s">
        <v>676</v>
      </c>
      <c r="F304" s="3" t="s">
        <v>294</v>
      </c>
      <c r="G304" s="3" t="s">
        <v>295</v>
      </c>
      <c r="H304" s="3" t="s">
        <v>570</v>
      </c>
      <c r="I304" s="19">
        <f>SUMIF('14 Detailed Results'!$A$5:$A$35,F304,'14 Detailed Results'!$E$5:$E$35)</f>
        <v>0</v>
      </c>
      <c r="J304" s="3" t="s">
        <v>61</v>
      </c>
      <c r="K304" s="3"/>
      <c r="L304" s="3"/>
      <c r="M304" s="3"/>
      <c r="N304" s="3" t="str">
        <f t="shared" si="27"/>
        <v>Not provided</v>
      </c>
      <c r="O304" s="3"/>
      <c r="P304" s="3" t="s">
        <v>43</v>
      </c>
      <c r="Q304">
        <f>IF('14 Detailed Results'!O32="","",'14 Detailed Results'!O32)</f>
        <v>0</v>
      </c>
      <c r="R304">
        <f>IF('14 Detailed Results'!P32="","",'14 Detailed Results'!P32)</f>
        <v>0</v>
      </c>
      <c r="S304">
        <f>IF('14 Detailed Results'!Q32="","",'14 Detailed Results'!Q32)</f>
        <v>0</v>
      </c>
      <c r="T304" t="str">
        <f>IF('14 Detailed Results'!R32="","",'14 Detailed Results'!R32)</f>
        <v>Not applicable</v>
      </c>
      <c r="U304" t="str">
        <f>IF('14 Detailed Results'!S32="","",'14 Detailed Results'!S32)</f>
        <v/>
      </c>
    </row>
    <row r="305" spans="1:21">
      <c r="A305" s="3">
        <f>'02 Hospice Setup'!$B$5</f>
        <v>0</v>
      </c>
      <c r="B305" s="3" t="str">
        <f>'02 Hospice Setup'!$H$5</f>
        <v>Version 5.1</v>
      </c>
      <c r="C305" s="3" t="str">
        <f>'02 Hospice Setup'!$E$6</f>
        <v>Actual</v>
      </c>
      <c r="D305" s="18">
        <f>'02 Hospice Setup'!$H$7</f>
        <v>0</v>
      </c>
      <c r="E305" s="3" t="s">
        <v>676</v>
      </c>
      <c r="F305" s="3" t="s">
        <v>294</v>
      </c>
      <c r="G305" s="3" t="s">
        <v>295</v>
      </c>
      <c r="H305" s="3" t="s">
        <v>561</v>
      </c>
      <c r="I305" s="19">
        <f>SUMIF('14 Detailed Results'!$A$5:$A$35,F305,'14 Detailed Results'!$F$5:$F$35)</f>
        <v>0</v>
      </c>
      <c r="J305" s="3" t="s">
        <v>61</v>
      </c>
      <c r="K305" s="3"/>
      <c r="L305" s="3"/>
      <c r="M305" s="3"/>
      <c r="N305" s="3" t="str">
        <f t="shared" si="27"/>
        <v>Not provided</v>
      </c>
      <c r="O305" s="3"/>
      <c r="P305" s="3" t="s">
        <v>43</v>
      </c>
      <c r="Q305">
        <f>IF('14 Detailed Results'!O32="","",'14 Detailed Results'!O32)</f>
        <v>0</v>
      </c>
      <c r="R305">
        <f>IF('14 Detailed Results'!P32="","",'14 Detailed Results'!P32)</f>
        <v>0</v>
      </c>
      <c r="S305">
        <f>IF('14 Detailed Results'!Q32="","",'14 Detailed Results'!Q32)</f>
        <v>0</v>
      </c>
      <c r="T305" t="str">
        <f>IF('14 Detailed Results'!R32="","",'14 Detailed Results'!R32)</f>
        <v>Not applicable</v>
      </c>
      <c r="U305" t="str">
        <f>IF('14 Detailed Results'!S32="","",'14 Detailed Results'!S32)</f>
        <v/>
      </c>
    </row>
    <row r="306" spans="1:21">
      <c r="A306" s="3">
        <f>'02 Hospice Setup'!$B$5</f>
        <v>0</v>
      </c>
      <c r="B306" s="3" t="str">
        <f>'02 Hospice Setup'!$H$5</f>
        <v>Version 5.1</v>
      </c>
      <c r="C306" s="3" t="str">
        <f>'02 Hospice Setup'!$E$6</f>
        <v>Actual</v>
      </c>
      <c r="D306" s="18">
        <f>'02 Hospice Setup'!$H$7</f>
        <v>0</v>
      </c>
      <c r="E306" s="3" t="s">
        <v>676</v>
      </c>
      <c r="F306" s="3" t="s">
        <v>294</v>
      </c>
      <c r="G306" s="3" t="s">
        <v>295</v>
      </c>
      <c r="H306" s="3" t="s">
        <v>382</v>
      </c>
      <c r="I306" s="19">
        <f>SUMIF('14 Detailed Results'!$A$5:$A$35,F306,'14 Detailed Results'!$G$5:$G$35)</f>
        <v>0</v>
      </c>
      <c r="J306" s="3" t="s">
        <v>677</v>
      </c>
      <c r="K306" s="3"/>
      <c r="L306" s="3"/>
      <c r="M306" s="3"/>
      <c r="N306" s="3" t="str">
        <f t="shared" si="27"/>
        <v>Not provided</v>
      </c>
      <c r="O306" s="3"/>
      <c r="P306" s="3" t="s">
        <v>43</v>
      </c>
      <c r="Q306">
        <f>IF('14 Detailed Results'!O32="","",'14 Detailed Results'!O32)</f>
        <v>0</v>
      </c>
      <c r="R306">
        <f>IF('14 Detailed Results'!P32="","",'14 Detailed Results'!P32)</f>
        <v>0</v>
      </c>
      <c r="S306">
        <f>IF('14 Detailed Results'!Q32="","",'14 Detailed Results'!Q32)</f>
        <v>0</v>
      </c>
      <c r="T306" t="str">
        <f>IF('14 Detailed Results'!R32="","",'14 Detailed Results'!R32)</f>
        <v>Not applicable</v>
      </c>
      <c r="U306" t="str">
        <f>IF('14 Detailed Results'!S32="","",'14 Detailed Results'!S32)</f>
        <v/>
      </c>
    </row>
    <row r="307" spans="1:21">
      <c r="A307" s="3">
        <f>'02 Hospice Setup'!$B$5</f>
        <v>0</v>
      </c>
      <c r="B307" s="3" t="str">
        <f>'02 Hospice Setup'!$H$5</f>
        <v>Version 5.1</v>
      </c>
      <c r="C307" s="3" t="str">
        <f>'02 Hospice Setup'!$E$6</f>
        <v>Actual</v>
      </c>
      <c r="D307" s="18">
        <f>'02 Hospice Setup'!$H$7</f>
        <v>0</v>
      </c>
      <c r="E307" s="3" t="s">
        <v>676</v>
      </c>
      <c r="F307" s="3" t="s">
        <v>294</v>
      </c>
      <c r="G307" s="3" t="s">
        <v>295</v>
      </c>
      <c r="H307" s="3" t="s">
        <v>386</v>
      </c>
      <c r="I307" s="19">
        <f>SUMIF('14 Detailed Results'!$A$5:$A$35,F307,'14 Detailed Results'!$H$5:$H$35)</f>
        <v>0</v>
      </c>
      <c r="J307" s="3" t="s">
        <v>677</v>
      </c>
      <c r="K307" s="3"/>
      <c r="L307" s="3"/>
      <c r="M307" s="3"/>
      <c r="N307" s="3" t="str">
        <f t="shared" si="27"/>
        <v>Not provided</v>
      </c>
      <c r="O307" s="3"/>
      <c r="P307" s="3" t="s">
        <v>43</v>
      </c>
      <c r="Q307">
        <f>IF('14 Detailed Results'!O32="","",'14 Detailed Results'!O32)</f>
        <v>0</v>
      </c>
      <c r="R307">
        <f>IF('14 Detailed Results'!P32="","",'14 Detailed Results'!P32)</f>
        <v>0</v>
      </c>
      <c r="S307">
        <f>IF('14 Detailed Results'!Q32="","",'14 Detailed Results'!Q32)</f>
        <v>0</v>
      </c>
      <c r="T307" t="str">
        <f>IF('14 Detailed Results'!R32="","",'14 Detailed Results'!R32)</f>
        <v>Not applicable</v>
      </c>
      <c r="U307" t="str">
        <f>IF('14 Detailed Results'!S32="","",'14 Detailed Results'!S32)</f>
        <v/>
      </c>
    </row>
    <row r="308" spans="1:21">
      <c r="A308" s="3">
        <f>'02 Hospice Setup'!$B$5</f>
        <v>0</v>
      </c>
      <c r="B308" s="3" t="str">
        <f>'02 Hospice Setup'!$H$5</f>
        <v>Version 5.1</v>
      </c>
      <c r="C308" s="3" t="str">
        <f>'02 Hospice Setup'!$E$6</f>
        <v>Actual</v>
      </c>
      <c r="D308" s="18">
        <f>'02 Hospice Setup'!$H$7</f>
        <v>0</v>
      </c>
      <c r="E308" s="3" t="s">
        <v>676</v>
      </c>
      <c r="F308" s="3" t="s">
        <v>294</v>
      </c>
      <c r="G308" s="3" t="s">
        <v>295</v>
      </c>
      <c r="H308" s="3" t="s">
        <v>704</v>
      </c>
      <c r="I308" s="19">
        <f>SUMIF('14 Detailed Results'!$A$5:$A$35,F308,'14 Detailed Results'!$I$5:$I$35)</f>
        <v>0</v>
      </c>
      <c r="J308" s="3" t="s">
        <v>61</v>
      </c>
      <c r="K308" s="3"/>
      <c r="L308" s="3"/>
      <c r="M308" s="3"/>
      <c r="N308" s="3" t="str">
        <f t="shared" si="27"/>
        <v>Not provided</v>
      </c>
      <c r="O308" s="3"/>
      <c r="P308" s="3" t="s">
        <v>43</v>
      </c>
      <c r="Q308">
        <f>IF('14 Detailed Results'!O32="","",'14 Detailed Results'!O32)</f>
        <v>0</v>
      </c>
      <c r="R308">
        <f>IF('14 Detailed Results'!P32="","",'14 Detailed Results'!P32)</f>
        <v>0</v>
      </c>
      <c r="S308">
        <f>IF('14 Detailed Results'!Q32="","",'14 Detailed Results'!Q32)</f>
        <v>0</v>
      </c>
      <c r="T308" t="str">
        <f>IF('14 Detailed Results'!R32="","",'14 Detailed Results'!R32)</f>
        <v>Not applicable</v>
      </c>
      <c r="U308" t="str">
        <f>IF('14 Detailed Results'!S32="","",'14 Detailed Results'!S32)</f>
        <v/>
      </c>
    </row>
    <row r="309" spans="1:21">
      <c r="A309" s="3">
        <f>'02 Hospice Setup'!$B$5</f>
        <v>0</v>
      </c>
      <c r="B309" s="3" t="str">
        <f>'02 Hospice Setup'!$H$5</f>
        <v>Version 5.1</v>
      </c>
      <c r="C309" s="3" t="str">
        <f>'02 Hospice Setup'!$E$6</f>
        <v>Actual</v>
      </c>
      <c r="D309" s="18">
        <f>'02 Hospice Setup'!$H$7</f>
        <v>0</v>
      </c>
      <c r="E309" s="3" t="s">
        <v>676</v>
      </c>
      <c r="F309" s="3" t="s">
        <v>294</v>
      </c>
      <c r="G309" s="3" t="s">
        <v>295</v>
      </c>
      <c r="H309" s="3" t="s">
        <v>705</v>
      </c>
      <c r="I309" s="19">
        <f>SUMIF('14 Detailed Results'!$A$5:$A$35,F309,'14 Detailed Results'!$J$5:$J$35)</f>
        <v>0</v>
      </c>
      <c r="J309" s="3" t="s">
        <v>61</v>
      </c>
      <c r="K309" s="3"/>
      <c r="L309" s="3"/>
      <c r="M309" s="3"/>
      <c r="N309" s="3" t="str">
        <f t="shared" si="27"/>
        <v>Not provided</v>
      </c>
      <c r="O309" s="3"/>
      <c r="P309" s="3" t="s">
        <v>43</v>
      </c>
      <c r="Q309">
        <f>IF('14 Detailed Results'!O32="","",'14 Detailed Results'!O32)</f>
        <v>0</v>
      </c>
      <c r="R309">
        <f>IF('14 Detailed Results'!P32="","",'14 Detailed Results'!P32)</f>
        <v>0</v>
      </c>
      <c r="S309">
        <f>IF('14 Detailed Results'!Q32="","",'14 Detailed Results'!Q32)</f>
        <v>0</v>
      </c>
      <c r="T309" t="str">
        <f>IF('14 Detailed Results'!R32="","",'14 Detailed Results'!R32)</f>
        <v>Not applicable</v>
      </c>
      <c r="U309" t="str">
        <f>IF('14 Detailed Results'!S32="","",'14 Detailed Results'!S32)</f>
        <v/>
      </c>
    </row>
    <row r="310" spans="1:21">
      <c r="A310" s="3">
        <f>'02 Hospice Setup'!$B$5</f>
        <v>0</v>
      </c>
      <c r="B310" s="3" t="str">
        <f>'02 Hospice Setup'!$H$5</f>
        <v>Version 5.1</v>
      </c>
      <c r="C310" s="3" t="str">
        <f>'02 Hospice Setup'!$E$6</f>
        <v>Actual</v>
      </c>
      <c r="D310" s="18">
        <f>'02 Hospice Setup'!$H$7</f>
        <v>0</v>
      </c>
      <c r="E310" s="3" t="s">
        <v>676</v>
      </c>
      <c r="F310" s="3" t="s">
        <v>294</v>
      </c>
      <c r="G310" s="3" t="s">
        <v>295</v>
      </c>
      <c r="H310" s="3" t="s">
        <v>564</v>
      </c>
      <c r="I310" s="19">
        <f>SUMIF('14 Detailed Results'!$A$5:$A$35,F310,'14 Detailed Results'!$K$5:$K$35)</f>
        <v>0</v>
      </c>
      <c r="J310" s="3" t="s">
        <v>706</v>
      </c>
      <c r="K310" s="3"/>
      <c r="L310" s="3"/>
      <c r="M310" s="3"/>
      <c r="N310" s="3" t="str">
        <f t="shared" si="27"/>
        <v>Not provided</v>
      </c>
      <c r="O310" s="3"/>
      <c r="P310" s="3" t="s">
        <v>43</v>
      </c>
      <c r="Q310">
        <f>IF('14 Detailed Results'!O32="","",'14 Detailed Results'!O32)</f>
        <v>0</v>
      </c>
      <c r="R310">
        <f>IF('14 Detailed Results'!P32="","",'14 Detailed Results'!P32)</f>
        <v>0</v>
      </c>
      <c r="S310">
        <f>IF('14 Detailed Results'!Q32="","",'14 Detailed Results'!Q32)</f>
        <v>0</v>
      </c>
      <c r="T310" t="str">
        <f>IF('14 Detailed Results'!R32="","",'14 Detailed Results'!R32)</f>
        <v>Not applicable</v>
      </c>
      <c r="U310" t="str">
        <f>IF('14 Detailed Results'!S32="","",'14 Detailed Results'!S32)</f>
        <v/>
      </c>
    </row>
    <row r="311" spans="1:21">
      <c r="A311" s="3">
        <f>'02 Hospice Setup'!$B$5</f>
        <v>0</v>
      </c>
      <c r="B311" s="3" t="str">
        <f>'02 Hospice Setup'!$H$5</f>
        <v>Version 5.1</v>
      </c>
      <c r="C311" s="3" t="str">
        <f>'02 Hospice Setup'!$E$6</f>
        <v>Actual</v>
      </c>
      <c r="D311" s="18">
        <f>'02 Hospice Setup'!$H$7</f>
        <v>0</v>
      </c>
      <c r="E311" s="3" t="s">
        <v>676</v>
      </c>
      <c r="F311" s="3" t="s">
        <v>294</v>
      </c>
      <c r="G311" s="3" t="s">
        <v>295</v>
      </c>
      <c r="H311" s="3" t="s">
        <v>708</v>
      </c>
      <c r="I311" s="19">
        <f>SUMIF('14 Detailed Results'!$A$5:$A$35,F311,'14 Detailed Results'!$L$5:$L$35)</f>
        <v>0</v>
      </c>
      <c r="J311" s="3" t="s">
        <v>427</v>
      </c>
      <c r="K311" s="3"/>
      <c r="L311" s="3"/>
      <c r="M311" s="3"/>
      <c r="N311" s="3" t="str">
        <f>IF(SUMIF('14 Detailed Results'!$A$5:$A$35,F311,'14 Detailed Results'!$F$5:$F$35)=0,"Not provided",IF(I311=0,"Not available","Complete"))</f>
        <v>Not provided</v>
      </c>
      <c r="O311" s="3" t="s">
        <v>709</v>
      </c>
      <c r="P311" s="3" t="s">
        <v>43</v>
      </c>
      <c r="Q311">
        <f>IF('14 Detailed Results'!O32="","",'14 Detailed Results'!O32)</f>
        <v>0</v>
      </c>
      <c r="R311">
        <f>IF('14 Detailed Results'!P32="","",'14 Detailed Results'!P32)</f>
        <v>0</v>
      </c>
      <c r="S311">
        <f>IF('14 Detailed Results'!Q32="","",'14 Detailed Results'!Q32)</f>
        <v>0</v>
      </c>
      <c r="T311" t="str">
        <f>IF('14 Detailed Results'!R32="","",'14 Detailed Results'!R32)</f>
        <v>Not applicable</v>
      </c>
      <c r="U311" t="str">
        <f>IF('14 Detailed Results'!S32="","",'14 Detailed Results'!S32)</f>
        <v/>
      </c>
    </row>
    <row r="312" spans="1:21">
      <c r="A312" s="3">
        <f>'02 Hospice Setup'!$B$5</f>
        <v>0</v>
      </c>
      <c r="B312" s="3" t="str">
        <f>'02 Hospice Setup'!$H$5</f>
        <v>Version 5.1</v>
      </c>
      <c r="C312" s="3" t="str">
        <f>'02 Hospice Setup'!$E$6</f>
        <v>Actual</v>
      </c>
      <c r="D312" s="18">
        <f>'02 Hospice Setup'!$H$7</f>
        <v>0</v>
      </c>
      <c r="E312" s="3" t="s">
        <v>676</v>
      </c>
      <c r="F312" s="3" t="s">
        <v>294</v>
      </c>
      <c r="G312" s="3" t="s">
        <v>295</v>
      </c>
      <c r="H312" s="3" t="s">
        <v>710</v>
      </c>
      <c r="I312" s="19">
        <f>SUMIF('14 Detailed Results'!$A$5:$A$35,F312,'14 Detailed Results'!$M$5:$M$35)</f>
        <v>0</v>
      </c>
      <c r="J312" s="3" t="s">
        <v>61</v>
      </c>
      <c r="K312" s="3"/>
      <c r="L312" s="3"/>
      <c r="M312" s="3"/>
      <c r="N312" s="3" t="str">
        <f>IF(SUMIF('14 Detailed Results'!$A$5:$A$35,F312,'14 Detailed Results'!$F$5:$F$35)=0,"Not provided",IF(I312=0,"Not available","Complete"))</f>
        <v>Not provided</v>
      </c>
      <c r="O312" s="3"/>
      <c r="P312" s="3" t="s">
        <v>43</v>
      </c>
      <c r="Q312">
        <f>IF('14 Detailed Results'!O32="","",'14 Detailed Results'!O32)</f>
        <v>0</v>
      </c>
      <c r="R312">
        <f>IF('14 Detailed Results'!P32="","",'14 Detailed Results'!P32)</f>
        <v>0</v>
      </c>
      <c r="S312">
        <f>IF('14 Detailed Results'!Q32="","",'14 Detailed Results'!Q32)</f>
        <v>0</v>
      </c>
      <c r="T312" t="str">
        <f>IF('14 Detailed Results'!R32="","",'14 Detailed Results'!R32)</f>
        <v>Not applicable</v>
      </c>
      <c r="U312" t="str">
        <f>IF('14 Detailed Results'!S32="","",'14 Detailed Results'!S32)</f>
        <v/>
      </c>
    </row>
    <row r="313" spans="1:21">
      <c r="A313" s="3">
        <f>'02 Hospice Setup'!$B$5</f>
        <v>0</v>
      </c>
      <c r="B313" s="3" t="str">
        <f>'02 Hospice Setup'!$H$5</f>
        <v>Version 5.1</v>
      </c>
      <c r="C313" s="3" t="str">
        <f>'02 Hospice Setup'!$E$6</f>
        <v>Actual</v>
      </c>
      <c r="D313" s="18">
        <f>'02 Hospice Setup'!$H$7</f>
        <v>0</v>
      </c>
      <c r="E313" s="3" t="s">
        <v>676</v>
      </c>
      <c r="F313" s="3" t="s">
        <v>303</v>
      </c>
      <c r="G313" s="3" t="s">
        <v>304</v>
      </c>
      <c r="H313" s="3" t="s">
        <v>559</v>
      </c>
      <c r="I313" s="19">
        <f>SUMIF('14 Detailed Results'!$A$5:$A$35,F313,'14 Detailed Results'!$C$5:$C$35)</f>
        <v>0</v>
      </c>
      <c r="J313" s="3" t="s">
        <v>61</v>
      </c>
      <c r="K313" s="3"/>
      <c r="L313" s="3"/>
      <c r="M313" s="3"/>
      <c r="N313" s="3" t="str">
        <f t="shared" ref="N313:N321" si="28">IF(I313=0,"Not provided","Complete")</f>
        <v>Not provided</v>
      </c>
      <c r="O313" s="3"/>
      <c r="P313" s="3" t="s">
        <v>43</v>
      </c>
      <c r="Q313">
        <f>IF('14 Detailed Results'!O33="","",'14 Detailed Results'!O33)</f>
        <v>0</v>
      </c>
      <c r="R313">
        <f>IF('14 Detailed Results'!P33="","",'14 Detailed Results'!P33)</f>
        <v>0</v>
      </c>
      <c r="S313">
        <f>IF('14 Detailed Results'!Q33="","",'14 Detailed Results'!Q33)</f>
        <v>0</v>
      </c>
      <c r="T313" t="str">
        <f>IF('14 Detailed Results'!R33="","",'14 Detailed Results'!R33)</f>
        <v>Not applicable</v>
      </c>
      <c r="U313" t="str">
        <f>IF('14 Detailed Results'!S33="","",'14 Detailed Results'!S33)</f>
        <v/>
      </c>
    </row>
    <row r="314" spans="1:21">
      <c r="A314" s="3">
        <f>'02 Hospice Setup'!$B$5</f>
        <v>0</v>
      </c>
      <c r="B314" s="3" t="str">
        <f>'02 Hospice Setup'!$H$5</f>
        <v>Version 5.1</v>
      </c>
      <c r="C314" s="3" t="str">
        <f>'02 Hospice Setup'!$E$6</f>
        <v>Actual</v>
      </c>
      <c r="D314" s="18">
        <f>'02 Hospice Setup'!$H$7</f>
        <v>0</v>
      </c>
      <c r="E314" s="3" t="s">
        <v>676</v>
      </c>
      <c r="F314" s="3" t="s">
        <v>303</v>
      </c>
      <c r="G314" s="3" t="s">
        <v>304</v>
      </c>
      <c r="H314" s="3" t="s">
        <v>560</v>
      </c>
      <c r="I314" s="19">
        <f>SUMIF('14 Detailed Results'!$A$5:$A$35,F314,'14 Detailed Results'!$D$5:$D$35)</f>
        <v>0</v>
      </c>
      <c r="J314" s="3" t="s">
        <v>61</v>
      </c>
      <c r="K314" s="3"/>
      <c r="L314" s="3"/>
      <c r="M314" s="3"/>
      <c r="N314" s="3" t="str">
        <f t="shared" si="28"/>
        <v>Not provided</v>
      </c>
      <c r="O314" s="3"/>
      <c r="P314" s="3" t="s">
        <v>43</v>
      </c>
      <c r="Q314">
        <f>IF('14 Detailed Results'!O33="","",'14 Detailed Results'!O33)</f>
        <v>0</v>
      </c>
      <c r="R314">
        <f>IF('14 Detailed Results'!P33="","",'14 Detailed Results'!P33)</f>
        <v>0</v>
      </c>
      <c r="S314">
        <f>IF('14 Detailed Results'!Q33="","",'14 Detailed Results'!Q33)</f>
        <v>0</v>
      </c>
      <c r="T314" t="str">
        <f>IF('14 Detailed Results'!R33="","",'14 Detailed Results'!R33)</f>
        <v>Not applicable</v>
      </c>
      <c r="U314" t="str">
        <f>IF('14 Detailed Results'!S33="","",'14 Detailed Results'!S33)</f>
        <v/>
      </c>
    </row>
    <row r="315" spans="1:21">
      <c r="A315" s="3">
        <f>'02 Hospice Setup'!$B$5</f>
        <v>0</v>
      </c>
      <c r="B315" s="3" t="str">
        <f>'02 Hospice Setup'!$H$5</f>
        <v>Version 5.1</v>
      </c>
      <c r="C315" s="3" t="str">
        <f>'02 Hospice Setup'!$E$6</f>
        <v>Actual</v>
      </c>
      <c r="D315" s="18">
        <f>'02 Hospice Setup'!$H$7</f>
        <v>0</v>
      </c>
      <c r="E315" s="3" t="s">
        <v>676</v>
      </c>
      <c r="F315" s="3" t="s">
        <v>303</v>
      </c>
      <c r="G315" s="3" t="s">
        <v>304</v>
      </c>
      <c r="H315" s="3" t="s">
        <v>570</v>
      </c>
      <c r="I315" s="19">
        <f>SUMIF('14 Detailed Results'!$A$5:$A$35,F315,'14 Detailed Results'!$E$5:$E$35)</f>
        <v>0</v>
      </c>
      <c r="J315" s="3" t="s">
        <v>61</v>
      </c>
      <c r="K315" s="3"/>
      <c r="L315" s="3"/>
      <c r="M315" s="3"/>
      <c r="N315" s="3" t="str">
        <f t="shared" si="28"/>
        <v>Not provided</v>
      </c>
      <c r="O315" s="3"/>
      <c r="P315" s="3" t="s">
        <v>43</v>
      </c>
      <c r="Q315">
        <f>IF('14 Detailed Results'!O33="","",'14 Detailed Results'!O33)</f>
        <v>0</v>
      </c>
      <c r="R315">
        <f>IF('14 Detailed Results'!P33="","",'14 Detailed Results'!P33)</f>
        <v>0</v>
      </c>
      <c r="S315">
        <f>IF('14 Detailed Results'!Q33="","",'14 Detailed Results'!Q33)</f>
        <v>0</v>
      </c>
      <c r="T315" t="str">
        <f>IF('14 Detailed Results'!R33="","",'14 Detailed Results'!R33)</f>
        <v>Not applicable</v>
      </c>
      <c r="U315" t="str">
        <f>IF('14 Detailed Results'!S33="","",'14 Detailed Results'!S33)</f>
        <v/>
      </c>
    </row>
    <row r="316" spans="1:21">
      <c r="A316" s="3">
        <f>'02 Hospice Setup'!$B$5</f>
        <v>0</v>
      </c>
      <c r="B316" s="3" t="str">
        <f>'02 Hospice Setup'!$H$5</f>
        <v>Version 5.1</v>
      </c>
      <c r="C316" s="3" t="str">
        <f>'02 Hospice Setup'!$E$6</f>
        <v>Actual</v>
      </c>
      <c r="D316" s="18">
        <f>'02 Hospice Setup'!$H$7</f>
        <v>0</v>
      </c>
      <c r="E316" s="3" t="s">
        <v>676</v>
      </c>
      <c r="F316" s="3" t="s">
        <v>303</v>
      </c>
      <c r="G316" s="3" t="s">
        <v>304</v>
      </c>
      <c r="H316" s="3" t="s">
        <v>561</v>
      </c>
      <c r="I316" s="19">
        <f>SUMIF('14 Detailed Results'!$A$5:$A$35,F316,'14 Detailed Results'!$F$5:$F$35)</f>
        <v>0</v>
      </c>
      <c r="J316" s="3" t="s">
        <v>61</v>
      </c>
      <c r="K316" s="3"/>
      <c r="L316" s="3"/>
      <c r="M316" s="3"/>
      <c r="N316" s="3" t="str">
        <f t="shared" si="28"/>
        <v>Not provided</v>
      </c>
      <c r="O316" s="3"/>
      <c r="P316" s="3" t="s">
        <v>43</v>
      </c>
      <c r="Q316">
        <f>IF('14 Detailed Results'!O33="","",'14 Detailed Results'!O33)</f>
        <v>0</v>
      </c>
      <c r="R316">
        <f>IF('14 Detailed Results'!P33="","",'14 Detailed Results'!P33)</f>
        <v>0</v>
      </c>
      <c r="S316">
        <f>IF('14 Detailed Results'!Q33="","",'14 Detailed Results'!Q33)</f>
        <v>0</v>
      </c>
      <c r="T316" t="str">
        <f>IF('14 Detailed Results'!R33="","",'14 Detailed Results'!R33)</f>
        <v>Not applicable</v>
      </c>
      <c r="U316" t="str">
        <f>IF('14 Detailed Results'!S33="","",'14 Detailed Results'!S33)</f>
        <v/>
      </c>
    </row>
    <row r="317" spans="1:21">
      <c r="A317" s="3">
        <f>'02 Hospice Setup'!$B$5</f>
        <v>0</v>
      </c>
      <c r="B317" s="3" t="str">
        <f>'02 Hospice Setup'!$H$5</f>
        <v>Version 5.1</v>
      </c>
      <c r="C317" s="3" t="str">
        <f>'02 Hospice Setup'!$E$6</f>
        <v>Actual</v>
      </c>
      <c r="D317" s="18">
        <f>'02 Hospice Setup'!$H$7</f>
        <v>0</v>
      </c>
      <c r="E317" s="3" t="s">
        <v>676</v>
      </c>
      <c r="F317" s="3" t="s">
        <v>303</v>
      </c>
      <c r="G317" s="3" t="s">
        <v>304</v>
      </c>
      <c r="H317" s="3" t="s">
        <v>382</v>
      </c>
      <c r="I317" s="19">
        <f>SUMIF('14 Detailed Results'!$A$5:$A$35,F317,'14 Detailed Results'!$G$5:$G$35)</f>
        <v>0</v>
      </c>
      <c r="J317" s="3" t="s">
        <v>677</v>
      </c>
      <c r="K317" s="3"/>
      <c r="L317" s="3"/>
      <c r="M317" s="3"/>
      <c r="N317" s="3" t="str">
        <f t="shared" si="28"/>
        <v>Not provided</v>
      </c>
      <c r="O317" s="3"/>
      <c r="P317" s="3" t="s">
        <v>43</v>
      </c>
      <c r="Q317">
        <f>IF('14 Detailed Results'!O33="","",'14 Detailed Results'!O33)</f>
        <v>0</v>
      </c>
      <c r="R317">
        <f>IF('14 Detailed Results'!P33="","",'14 Detailed Results'!P33)</f>
        <v>0</v>
      </c>
      <c r="S317">
        <f>IF('14 Detailed Results'!Q33="","",'14 Detailed Results'!Q33)</f>
        <v>0</v>
      </c>
      <c r="T317" t="str">
        <f>IF('14 Detailed Results'!R33="","",'14 Detailed Results'!R33)</f>
        <v>Not applicable</v>
      </c>
      <c r="U317" t="str">
        <f>IF('14 Detailed Results'!S33="","",'14 Detailed Results'!S33)</f>
        <v/>
      </c>
    </row>
    <row r="318" spans="1:21">
      <c r="A318" s="3">
        <f>'02 Hospice Setup'!$B$5</f>
        <v>0</v>
      </c>
      <c r="B318" s="3" t="str">
        <f>'02 Hospice Setup'!$H$5</f>
        <v>Version 5.1</v>
      </c>
      <c r="C318" s="3" t="str">
        <f>'02 Hospice Setup'!$E$6</f>
        <v>Actual</v>
      </c>
      <c r="D318" s="18">
        <f>'02 Hospice Setup'!$H$7</f>
        <v>0</v>
      </c>
      <c r="E318" s="3" t="s">
        <v>676</v>
      </c>
      <c r="F318" s="3" t="s">
        <v>303</v>
      </c>
      <c r="G318" s="3" t="s">
        <v>304</v>
      </c>
      <c r="H318" s="3" t="s">
        <v>386</v>
      </c>
      <c r="I318" s="19">
        <f>SUMIF('14 Detailed Results'!$A$5:$A$35,F318,'14 Detailed Results'!$H$5:$H$35)</f>
        <v>0</v>
      </c>
      <c r="J318" s="3" t="s">
        <v>677</v>
      </c>
      <c r="K318" s="3"/>
      <c r="L318" s="3"/>
      <c r="M318" s="3"/>
      <c r="N318" s="3" t="str">
        <f t="shared" si="28"/>
        <v>Not provided</v>
      </c>
      <c r="O318" s="3"/>
      <c r="P318" s="3" t="s">
        <v>43</v>
      </c>
      <c r="Q318">
        <f>IF('14 Detailed Results'!O33="","",'14 Detailed Results'!O33)</f>
        <v>0</v>
      </c>
      <c r="R318">
        <f>IF('14 Detailed Results'!P33="","",'14 Detailed Results'!P33)</f>
        <v>0</v>
      </c>
      <c r="S318">
        <f>IF('14 Detailed Results'!Q33="","",'14 Detailed Results'!Q33)</f>
        <v>0</v>
      </c>
      <c r="T318" t="str">
        <f>IF('14 Detailed Results'!R33="","",'14 Detailed Results'!R33)</f>
        <v>Not applicable</v>
      </c>
      <c r="U318" t="str">
        <f>IF('14 Detailed Results'!S33="","",'14 Detailed Results'!S33)</f>
        <v/>
      </c>
    </row>
    <row r="319" spans="1:21">
      <c r="A319" s="3">
        <f>'02 Hospice Setup'!$B$5</f>
        <v>0</v>
      </c>
      <c r="B319" s="3" t="str">
        <f>'02 Hospice Setup'!$H$5</f>
        <v>Version 5.1</v>
      </c>
      <c r="C319" s="3" t="str">
        <f>'02 Hospice Setup'!$E$6</f>
        <v>Actual</v>
      </c>
      <c r="D319" s="18">
        <f>'02 Hospice Setup'!$H$7</f>
        <v>0</v>
      </c>
      <c r="E319" s="3" t="s">
        <v>676</v>
      </c>
      <c r="F319" s="3" t="s">
        <v>303</v>
      </c>
      <c r="G319" s="3" t="s">
        <v>304</v>
      </c>
      <c r="H319" s="3" t="s">
        <v>704</v>
      </c>
      <c r="I319" s="19">
        <f>SUMIF('14 Detailed Results'!$A$5:$A$35,F319,'14 Detailed Results'!$I$5:$I$35)</f>
        <v>0</v>
      </c>
      <c r="J319" s="3" t="s">
        <v>61</v>
      </c>
      <c r="K319" s="3"/>
      <c r="L319" s="3"/>
      <c r="M319" s="3"/>
      <c r="N319" s="3" t="str">
        <f t="shared" si="28"/>
        <v>Not provided</v>
      </c>
      <c r="O319" s="3"/>
      <c r="P319" s="3" t="s">
        <v>43</v>
      </c>
      <c r="Q319">
        <f>IF('14 Detailed Results'!O33="","",'14 Detailed Results'!O33)</f>
        <v>0</v>
      </c>
      <c r="R319">
        <f>IF('14 Detailed Results'!P33="","",'14 Detailed Results'!P33)</f>
        <v>0</v>
      </c>
      <c r="S319">
        <f>IF('14 Detailed Results'!Q33="","",'14 Detailed Results'!Q33)</f>
        <v>0</v>
      </c>
      <c r="T319" t="str">
        <f>IF('14 Detailed Results'!R33="","",'14 Detailed Results'!R33)</f>
        <v>Not applicable</v>
      </c>
      <c r="U319" t="str">
        <f>IF('14 Detailed Results'!S33="","",'14 Detailed Results'!S33)</f>
        <v/>
      </c>
    </row>
    <row r="320" spans="1:21">
      <c r="A320" s="3">
        <f>'02 Hospice Setup'!$B$5</f>
        <v>0</v>
      </c>
      <c r="B320" s="3" t="str">
        <f>'02 Hospice Setup'!$H$5</f>
        <v>Version 5.1</v>
      </c>
      <c r="C320" s="3" t="str">
        <f>'02 Hospice Setup'!$E$6</f>
        <v>Actual</v>
      </c>
      <c r="D320" s="18">
        <f>'02 Hospice Setup'!$H$7</f>
        <v>0</v>
      </c>
      <c r="E320" s="3" t="s">
        <v>676</v>
      </c>
      <c r="F320" s="3" t="s">
        <v>303</v>
      </c>
      <c r="G320" s="3" t="s">
        <v>304</v>
      </c>
      <c r="H320" s="3" t="s">
        <v>705</v>
      </c>
      <c r="I320" s="19">
        <f>SUMIF('14 Detailed Results'!$A$5:$A$35,F320,'14 Detailed Results'!$J$5:$J$35)</f>
        <v>0</v>
      </c>
      <c r="J320" s="3" t="s">
        <v>61</v>
      </c>
      <c r="K320" s="3"/>
      <c r="L320" s="3"/>
      <c r="M320" s="3"/>
      <c r="N320" s="3" t="str">
        <f t="shared" si="28"/>
        <v>Not provided</v>
      </c>
      <c r="O320" s="3"/>
      <c r="P320" s="3" t="s">
        <v>43</v>
      </c>
      <c r="Q320">
        <f>IF('14 Detailed Results'!O33="","",'14 Detailed Results'!O33)</f>
        <v>0</v>
      </c>
      <c r="R320">
        <f>IF('14 Detailed Results'!P33="","",'14 Detailed Results'!P33)</f>
        <v>0</v>
      </c>
      <c r="S320">
        <f>IF('14 Detailed Results'!Q33="","",'14 Detailed Results'!Q33)</f>
        <v>0</v>
      </c>
      <c r="T320" t="str">
        <f>IF('14 Detailed Results'!R33="","",'14 Detailed Results'!R33)</f>
        <v>Not applicable</v>
      </c>
      <c r="U320" t="str">
        <f>IF('14 Detailed Results'!S33="","",'14 Detailed Results'!S33)</f>
        <v/>
      </c>
    </row>
    <row r="321" spans="1:21">
      <c r="A321" s="3">
        <f>'02 Hospice Setup'!$B$5</f>
        <v>0</v>
      </c>
      <c r="B321" s="3" t="str">
        <f>'02 Hospice Setup'!$H$5</f>
        <v>Version 5.1</v>
      </c>
      <c r="C321" s="3" t="str">
        <f>'02 Hospice Setup'!$E$6</f>
        <v>Actual</v>
      </c>
      <c r="D321" s="18">
        <f>'02 Hospice Setup'!$H$7</f>
        <v>0</v>
      </c>
      <c r="E321" s="3" t="s">
        <v>676</v>
      </c>
      <c r="F321" s="3" t="s">
        <v>303</v>
      </c>
      <c r="G321" s="3" t="s">
        <v>304</v>
      </c>
      <c r="H321" s="3" t="s">
        <v>564</v>
      </c>
      <c r="I321" s="19">
        <f>SUMIF('14 Detailed Results'!$A$5:$A$35,F321,'14 Detailed Results'!$K$5:$K$35)</f>
        <v>0</v>
      </c>
      <c r="J321" s="3" t="s">
        <v>706</v>
      </c>
      <c r="K321" s="3"/>
      <c r="L321" s="3"/>
      <c r="M321" s="3"/>
      <c r="N321" s="3" t="str">
        <f t="shared" si="28"/>
        <v>Not provided</v>
      </c>
      <c r="O321" s="3"/>
      <c r="P321" s="3" t="s">
        <v>43</v>
      </c>
      <c r="Q321">
        <f>IF('14 Detailed Results'!O33="","",'14 Detailed Results'!O33)</f>
        <v>0</v>
      </c>
      <c r="R321">
        <f>IF('14 Detailed Results'!P33="","",'14 Detailed Results'!P33)</f>
        <v>0</v>
      </c>
      <c r="S321">
        <f>IF('14 Detailed Results'!Q33="","",'14 Detailed Results'!Q33)</f>
        <v>0</v>
      </c>
      <c r="T321" t="str">
        <f>IF('14 Detailed Results'!R33="","",'14 Detailed Results'!R33)</f>
        <v>Not applicable</v>
      </c>
      <c r="U321" t="str">
        <f>IF('14 Detailed Results'!S33="","",'14 Detailed Results'!S33)</f>
        <v/>
      </c>
    </row>
    <row r="322" spans="1:21">
      <c r="A322" s="3">
        <f>'02 Hospice Setup'!$B$5</f>
        <v>0</v>
      </c>
      <c r="B322" s="3" t="str">
        <f>'02 Hospice Setup'!$H$5</f>
        <v>Version 5.1</v>
      </c>
      <c r="C322" s="3" t="str">
        <f>'02 Hospice Setup'!$E$6</f>
        <v>Actual</v>
      </c>
      <c r="D322" s="18">
        <f>'02 Hospice Setup'!$H$7</f>
        <v>0</v>
      </c>
      <c r="E322" s="3" t="s">
        <v>676</v>
      </c>
      <c r="F322" s="3" t="s">
        <v>303</v>
      </c>
      <c r="G322" s="3" t="s">
        <v>304</v>
      </c>
      <c r="H322" s="3" t="s">
        <v>708</v>
      </c>
      <c r="I322" s="19">
        <f>SUMIF('14 Detailed Results'!$A$5:$A$35,F322,'14 Detailed Results'!$L$5:$L$35)</f>
        <v>0</v>
      </c>
      <c r="J322" s="3" t="s">
        <v>427</v>
      </c>
      <c r="K322" s="3"/>
      <c r="L322" s="3"/>
      <c r="M322" s="3"/>
      <c r="N322" s="3" t="str">
        <f>IF(SUMIF('14 Detailed Results'!$A$5:$A$35,F322,'14 Detailed Results'!$F$5:$F$35)=0,"Not provided",IF(I322=0,"Not available","Complete"))</f>
        <v>Not provided</v>
      </c>
      <c r="O322" s="3" t="s">
        <v>709</v>
      </c>
      <c r="P322" s="3" t="s">
        <v>43</v>
      </c>
      <c r="Q322">
        <f>IF('14 Detailed Results'!O33="","",'14 Detailed Results'!O33)</f>
        <v>0</v>
      </c>
      <c r="R322">
        <f>IF('14 Detailed Results'!P33="","",'14 Detailed Results'!P33)</f>
        <v>0</v>
      </c>
      <c r="S322">
        <f>IF('14 Detailed Results'!Q33="","",'14 Detailed Results'!Q33)</f>
        <v>0</v>
      </c>
      <c r="T322" t="str">
        <f>IF('14 Detailed Results'!R33="","",'14 Detailed Results'!R33)</f>
        <v>Not applicable</v>
      </c>
      <c r="U322" t="str">
        <f>IF('14 Detailed Results'!S33="","",'14 Detailed Results'!S33)</f>
        <v/>
      </c>
    </row>
    <row r="323" spans="1:21">
      <c r="A323" s="3">
        <f>'02 Hospice Setup'!$B$5</f>
        <v>0</v>
      </c>
      <c r="B323" s="3" t="str">
        <f>'02 Hospice Setup'!$H$5</f>
        <v>Version 5.1</v>
      </c>
      <c r="C323" s="3" t="str">
        <f>'02 Hospice Setup'!$E$6</f>
        <v>Actual</v>
      </c>
      <c r="D323" s="18">
        <f>'02 Hospice Setup'!$H$7</f>
        <v>0</v>
      </c>
      <c r="E323" s="3" t="s">
        <v>676</v>
      </c>
      <c r="F323" s="3" t="s">
        <v>303</v>
      </c>
      <c r="G323" s="3" t="s">
        <v>304</v>
      </c>
      <c r="H323" s="3" t="s">
        <v>710</v>
      </c>
      <c r="I323" s="19">
        <f>SUMIF('14 Detailed Results'!$A$5:$A$35,F323,'14 Detailed Results'!$M$5:$M$35)</f>
        <v>0</v>
      </c>
      <c r="J323" s="3" t="s">
        <v>61</v>
      </c>
      <c r="K323" s="3"/>
      <c r="L323" s="3"/>
      <c r="M323" s="3"/>
      <c r="N323" s="3" t="str">
        <f>IF(SUMIF('14 Detailed Results'!$A$5:$A$35,F323,'14 Detailed Results'!$F$5:$F$35)=0,"Not provided",IF(I323=0,"Not available","Complete"))</f>
        <v>Not provided</v>
      </c>
      <c r="O323" s="3"/>
      <c r="P323" s="3" t="s">
        <v>43</v>
      </c>
      <c r="Q323">
        <f>IF('14 Detailed Results'!O33="","",'14 Detailed Results'!O33)</f>
        <v>0</v>
      </c>
      <c r="R323">
        <f>IF('14 Detailed Results'!P33="","",'14 Detailed Results'!P33)</f>
        <v>0</v>
      </c>
      <c r="S323">
        <f>IF('14 Detailed Results'!Q33="","",'14 Detailed Results'!Q33)</f>
        <v>0</v>
      </c>
      <c r="T323" t="str">
        <f>IF('14 Detailed Results'!R33="","",'14 Detailed Results'!R33)</f>
        <v>Not applicable</v>
      </c>
      <c r="U323" t="str">
        <f>IF('14 Detailed Results'!S33="","",'14 Detailed Results'!S33)</f>
        <v/>
      </c>
    </row>
    <row r="324" spans="1:21">
      <c r="A324" s="3">
        <f>'02 Hospice Setup'!$B$5</f>
        <v>0</v>
      </c>
      <c r="B324" s="3" t="str">
        <f>'02 Hospice Setup'!$H$5</f>
        <v>Version 5.1</v>
      </c>
      <c r="C324" s="3" t="str">
        <f>'02 Hospice Setup'!$E$6</f>
        <v>Actual</v>
      </c>
      <c r="D324" s="18">
        <f>'02 Hospice Setup'!$H$7</f>
        <v>0</v>
      </c>
      <c r="E324" s="3" t="s">
        <v>676</v>
      </c>
      <c r="F324" s="3" t="s">
        <v>309</v>
      </c>
      <c r="G324" s="3" t="s">
        <v>310</v>
      </c>
      <c r="H324" s="3" t="s">
        <v>559</v>
      </c>
      <c r="I324" s="19">
        <f>SUMIF('14 Detailed Results'!$A$5:$A$35,F324,'14 Detailed Results'!$C$5:$C$35)</f>
        <v>0</v>
      </c>
      <c r="J324" s="3" t="s">
        <v>61</v>
      </c>
      <c r="K324" s="3"/>
      <c r="L324" s="3"/>
      <c r="M324" s="3"/>
      <c r="N324" s="3" t="str">
        <f t="shared" ref="N324:N332" si="29">IF(I324=0,"Not provided","Complete")</f>
        <v>Not provided</v>
      </c>
      <c r="O324" s="3"/>
      <c r="P324" s="3" t="s">
        <v>43</v>
      </c>
      <c r="Q324">
        <f>IF('14 Detailed Results'!O34="","",'14 Detailed Results'!O34)</f>
        <v>0</v>
      </c>
      <c r="R324">
        <f>IF('14 Detailed Results'!P34="","",'14 Detailed Results'!P34)</f>
        <v>0</v>
      </c>
      <c r="S324">
        <f>IF('14 Detailed Results'!Q34="","",'14 Detailed Results'!Q34)</f>
        <v>0</v>
      </c>
      <c r="T324" t="str">
        <f>IF('14 Detailed Results'!R34="","",'14 Detailed Results'!R34)</f>
        <v>Not applicable</v>
      </c>
      <c r="U324" t="str">
        <f>IF('14 Detailed Results'!S34="","",'14 Detailed Results'!S34)</f>
        <v/>
      </c>
    </row>
    <row r="325" spans="1:21">
      <c r="A325" s="3">
        <f>'02 Hospice Setup'!$B$5</f>
        <v>0</v>
      </c>
      <c r="B325" s="3" t="str">
        <f>'02 Hospice Setup'!$H$5</f>
        <v>Version 5.1</v>
      </c>
      <c r="C325" s="3" t="str">
        <f>'02 Hospice Setup'!$E$6</f>
        <v>Actual</v>
      </c>
      <c r="D325" s="18">
        <f>'02 Hospice Setup'!$H$7</f>
        <v>0</v>
      </c>
      <c r="E325" s="3" t="s">
        <v>676</v>
      </c>
      <c r="F325" s="3" t="s">
        <v>309</v>
      </c>
      <c r="G325" s="3" t="s">
        <v>310</v>
      </c>
      <c r="H325" s="3" t="s">
        <v>560</v>
      </c>
      <c r="I325" s="19">
        <f>SUMIF('14 Detailed Results'!$A$5:$A$35,F325,'14 Detailed Results'!$D$5:$D$35)</f>
        <v>0</v>
      </c>
      <c r="J325" s="3" t="s">
        <v>61</v>
      </c>
      <c r="K325" s="3"/>
      <c r="L325" s="3"/>
      <c r="M325" s="3"/>
      <c r="N325" s="3" t="str">
        <f t="shared" si="29"/>
        <v>Not provided</v>
      </c>
      <c r="O325" s="3"/>
      <c r="P325" s="3" t="s">
        <v>43</v>
      </c>
      <c r="Q325">
        <f>IF('14 Detailed Results'!O34="","",'14 Detailed Results'!O34)</f>
        <v>0</v>
      </c>
      <c r="R325">
        <f>IF('14 Detailed Results'!P34="","",'14 Detailed Results'!P34)</f>
        <v>0</v>
      </c>
      <c r="S325">
        <f>IF('14 Detailed Results'!Q34="","",'14 Detailed Results'!Q34)</f>
        <v>0</v>
      </c>
      <c r="T325" t="str">
        <f>IF('14 Detailed Results'!R34="","",'14 Detailed Results'!R34)</f>
        <v>Not applicable</v>
      </c>
      <c r="U325" t="str">
        <f>IF('14 Detailed Results'!S34="","",'14 Detailed Results'!S34)</f>
        <v/>
      </c>
    </row>
    <row r="326" spans="1:21">
      <c r="A326" s="3">
        <f>'02 Hospice Setup'!$B$5</f>
        <v>0</v>
      </c>
      <c r="B326" s="3" t="str">
        <f>'02 Hospice Setup'!$H$5</f>
        <v>Version 5.1</v>
      </c>
      <c r="C326" s="3" t="str">
        <f>'02 Hospice Setup'!$E$6</f>
        <v>Actual</v>
      </c>
      <c r="D326" s="18">
        <f>'02 Hospice Setup'!$H$7</f>
        <v>0</v>
      </c>
      <c r="E326" s="3" t="s">
        <v>676</v>
      </c>
      <c r="F326" s="3" t="s">
        <v>309</v>
      </c>
      <c r="G326" s="3" t="s">
        <v>310</v>
      </c>
      <c r="H326" s="3" t="s">
        <v>570</v>
      </c>
      <c r="I326" s="19">
        <f>SUMIF('14 Detailed Results'!$A$5:$A$35,F326,'14 Detailed Results'!$E$5:$E$35)</f>
        <v>0</v>
      </c>
      <c r="J326" s="3" t="s">
        <v>61</v>
      </c>
      <c r="K326" s="3"/>
      <c r="L326" s="3"/>
      <c r="M326" s="3"/>
      <c r="N326" s="3" t="str">
        <f t="shared" si="29"/>
        <v>Not provided</v>
      </c>
      <c r="O326" s="3"/>
      <c r="P326" s="3" t="s">
        <v>43</v>
      </c>
      <c r="Q326">
        <f>IF('14 Detailed Results'!O34="","",'14 Detailed Results'!O34)</f>
        <v>0</v>
      </c>
      <c r="R326">
        <f>IF('14 Detailed Results'!P34="","",'14 Detailed Results'!P34)</f>
        <v>0</v>
      </c>
      <c r="S326">
        <f>IF('14 Detailed Results'!Q34="","",'14 Detailed Results'!Q34)</f>
        <v>0</v>
      </c>
      <c r="T326" t="str">
        <f>IF('14 Detailed Results'!R34="","",'14 Detailed Results'!R34)</f>
        <v>Not applicable</v>
      </c>
      <c r="U326" t="str">
        <f>IF('14 Detailed Results'!S34="","",'14 Detailed Results'!S34)</f>
        <v/>
      </c>
    </row>
    <row r="327" spans="1:21">
      <c r="A327" s="3">
        <f>'02 Hospice Setup'!$B$5</f>
        <v>0</v>
      </c>
      <c r="B327" s="3" t="str">
        <f>'02 Hospice Setup'!$H$5</f>
        <v>Version 5.1</v>
      </c>
      <c r="C327" s="3" t="str">
        <f>'02 Hospice Setup'!$E$6</f>
        <v>Actual</v>
      </c>
      <c r="D327" s="18">
        <f>'02 Hospice Setup'!$H$7</f>
        <v>0</v>
      </c>
      <c r="E327" s="3" t="s">
        <v>676</v>
      </c>
      <c r="F327" s="3" t="s">
        <v>309</v>
      </c>
      <c r="G327" s="3" t="s">
        <v>310</v>
      </c>
      <c r="H327" s="3" t="s">
        <v>561</v>
      </c>
      <c r="I327" s="19">
        <f>SUMIF('14 Detailed Results'!$A$5:$A$35,F327,'14 Detailed Results'!$F$5:$F$35)</f>
        <v>0</v>
      </c>
      <c r="J327" s="3" t="s">
        <v>61</v>
      </c>
      <c r="K327" s="3"/>
      <c r="L327" s="3"/>
      <c r="M327" s="3"/>
      <c r="N327" s="3" t="str">
        <f t="shared" si="29"/>
        <v>Not provided</v>
      </c>
      <c r="O327" s="3"/>
      <c r="P327" s="3" t="s">
        <v>43</v>
      </c>
      <c r="Q327">
        <f>IF('14 Detailed Results'!O34="","",'14 Detailed Results'!O34)</f>
        <v>0</v>
      </c>
      <c r="R327">
        <f>IF('14 Detailed Results'!P34="","",'14 Detailed Results'!P34)</f>
        <v>0</v>
      </c>
      <c r="S327">
        <f>IF('14 Detailed Results'!Q34="","",'14 Detailed Results'!Q34)</f>
        <v>0</v>
      </c>
      <c r="T327" t="str">
        <f>IF('14 Detailed Results'!R34="","",'14 Detailed Results'!R34)</f>
        <v>Not applicable</v>
      </c>
      <c r="U327" t="str">
        <f>IF('14 Detailed Results'!S34="","",'14 Detailed Results'!S34)</f>
        <v/>
      </c>
    </row>
    <row r="328" spans="1:21">
      <c r="A328" s="3">
        <f>'02 Hospice Setup'!$B$5</f>
        <v>0</v>
      </c>
      <c r="B328" s="3" t="str">
        <f>'02 Hospice Setup'!$H$5</f>
        <v>Version 5.1</v>
      </c>
      <c r="C328" s="3" t="str">
        <f>'02 Hospice Setup'!$E$6</f>
        <v>Actual</v>
      </c>
      <c r="D328" s="18">
        <f>'02 Hospice Setup'!$H$7</f>
        <v>0</v>
      </c>
      <c r="E328" s="3" t="s">
        <v>676</v>
      </c>
      <c r="F328" s="3" t="s">
        <v>309</v>
      </c>
      <c r="G328" s="3" t="s">
        <v>310</v>
      </c>
      <c r="H328" s="3" t="s">
        <v>382</v>
      </c>
      <c r="I328" s="19">
        <f>SUMIF('14 Detailed Results'!$A$5:$A$35,F328,'14 Detailed Results'!$G$5:$G$35)</f>
        <v>0</v>
      </c>
      <c r="J328" s="3" t="s">
        <v>677</v>
      </c>
      <c r="K328" s="3"/>
      <c r="L328" s="3"/>
      <c r="M328" s="3"/>
      <c r="N328" s="3" t="str">
        <f t="shared" si="29"/>
        <v>Not provided</v>
      </c>
      <c r="O328" s="3"/>
      <c r="P328" s="3" t="s">
        <v>43</v>
      </c>
      <c r="Q328">
        <f>IF('14 Detailed Results'!O34="","",'14 Detailed Results'!O34)</f>
        <v>0</v>
      </c>
      <c r="R328">
        <f>IF('14 Detailed Results'!P34="","",'14 Detailed Results'!P34)</f>
        <v>0</v>
      </c>
      <c r="S328">
        <f>IF('14 Detailed Results'!Q34="","",'14 Detailed Results'!Q34)</f>
        <v>0</v>
      </c>
      <c r="T328" t="str">
        <f>IF('14 Detailed Results'!R34="","",'14 Detailed Results'!R34)</f>
        <v>Not applicable</v>
      </c>
      <c r="U328" t="str">
        <f>IF('14 Detailed Results'!S34="","",'14 Detailed Results'!S34)</f>
        <v/>
      </c>
    </row>
    <row r="329" spans="1:21">
      <c r="A329" s="3">
        <f>'02 Hospice Setup'!$B$5</f>
        <v>0</v>
      </c>
      <c r="B329" s="3" t="str">
        <f>'02 Hospice Setup'!$H$5</f>
        <v>Version 5.1</v>
      </c>
      <c r="C329" s="3" t="str">
        <f>'02 Hospice Setup'!$E$6</f>
        <v>Actual</v>
      </c>
      <c r="D329" s="18">
        <f>'02 Hospice Setup'!$H$7</f>
        <v>0</v>
      </c>
      <c r="E329" s="3" t="s">
        <v>676</v>
      </c>
      <c r="F329" s="3" t="s">
        <v>309</v>
      </c>
      <c r="G329" s="3" t="s">
        <v>310</v>
      </c>
      <c r="H329" s="3" t="s">
        <v>386</v>
      </c>
      <c r="I329" s="19">
        <f>SUMIF('14 Detailed Results'!$A$5:$A$35,F329,'14 Detailed Results'!$H$5:$H$35)</f>
        <v>0</v>
      </c>
      <c r="J329" s="3" t="s">
        <v>677</v>
      </c>
      <c r="K329" s="3"/>
      <c r="L329" s="3"/>
      <c r="M329" s="3"/>
      <c r="N329" s="3" t="str">
        <f t="shared" si="29"/>
        <v>Not provided</v>
      </c>
      <c r="O329" s="3"/>
      <c r="P329" s="3" t="s">
        <v>43</v>
      </c>
      <c r="Q329">
        <f>IF('14 Detailed Results'!O34="","",'14 Detailed Results'!O34)</f>
        <v>0</v>
      </c>
      <c r="R329">
        <f>IF('14 Detailed Results'!P34="","",'14 Detailed Results'!P34)</f>
        <v>0</v>
      </c>
      <c r="S329">
        <f>IF('14 Detailed Results'!Q34="","",'14 Detailed Results'!Q34)</f>
        <v>0</v>
      </c>
      <c r="T329" t="str">
        <f>IF('14 Detailed Results'!R34="","",'14 Detailed Results'!R34)</f>
        <v>Not applicable</v>
      </c>
      <c r="U329" t="str">
        <f>IF('14 Detailed Results'!S34="","",'14 Detailed Results'!S34)</f>
        <v/>
      </c>
    </row>
    <row r="330" spans="1:21">
      <c r="A330" s="3">
        <f>'02 Hospice Setup'!$B$5</f>
        <v>0</v>
      </c>
      <c r="B330" s="3" t="str">
        <f>'02 Hospice Setup'!$H$5</f>
        <v>Version 5.1</v>
      </c>
      <c r="C330" s="3" t="str">
        <f>'02 Hospice Setup'!$E$6</f>
        <v>Actual</v>
      </c>
      <c r="D330" s="18">
        <f>'02 Hospice Setup'!$H$7</f>
        <v>0</v>
      </c>
      <c r="E330" s="3" t="s">
        <v>676</v>
      </c>
      <c r="F330" s="3" t="s">
        <v>309</v>
      </c>
      <c r="G330" s="3" t="s">
        <v>310</v>
      </c>
      <c r="H330" s="3" t="s">
        <v>704</v>
      </c>
      <c r="I330" s="19">
        <f>SUMIF('14 Detailed Results'!$A$5:$A$35,F330,'14 Detailed Results'!$I$5:$I$35)</f>
        <v>0</v>
      </c>
      <c r="J330" s="3" t="s">
        <v>61</v>
      </c>
      <c r="K330" s="3"/>
      <c r="L330" s="3"/>
      <c r="M330" s="3"/>
      <c r="N330" s="3" t="str">
        <f t="shared" si="29"/>
        <v>Not provided</v>
      </c>
      <c r="O330" s="3"/>
      <c r="P330" s="3" t="s">
        <v>43</v>
      </c>
      <c r="Q330">
        <f>IF('14 Detailed Results'!O34="","",'14 Detailed Results'!O34)</f>
        <v>0</v>
      </c>
      <c r="R330">
        <f>IF('14 Detailed Results'!P34="","",'14 Detailed Results'!P34)</f>
        <v>0</v>
      </c>
      <c r="S330">
        <f>IF('14 Detailed Results'!Q34="","",'14 Detailed Results'!Q34)</f>
        <v>0</v>
      </c>
      <c r="T330" t="str">
        <f>IF('14 Detailed Results'!R34="","",'14 Detailed Results'!R34)</f>
        <v>Not applicable</v>
      </c>
      <c r="U330" t="str">
        <f>IF('14 Detailed Results'!S34="","",'14 Detailed Results'!S34)</f>
        <v/>
      </c>
    </row>
    <row r="331" spans="1:21">
      <c r="A331" s="3">
        <f>'02 Hospice Setup'!$B$5</f>
        <v>0</v>
      </c>
      <c r="B331" s="3" t="str">
        <f>'02 Hospice Setup'!$H$5</f>
        <v>Version 5.1</v>
      </c>
      <c r="C331" s="3" t="str">
        <f>'02 Hospice Setup'!$E$6</f>
        <v>Actual</v>
      </c>
      <c r="D331" s="18">
        <f>'02 Hospice Setup'!$H$7</f>
        <v>0</v>
      </c>
      <c r="E331" s="3" t="s">
        <v>676</v>
      </c>
      <c r="F331" s="3" t="s">
        <v>309</v>
      </c>
      <c r="G331" s="3" t="s">
        <v>310</v>
      </c>
      <c r="H331" s="3" t="s">
        <v>705</v>
      </c>
      <c r="I331" s="19">
        <f>SUMIF('14 Detailed Results'!$A$5:$A$35,F331,'14 Detailed Results'!$J$5:$J$35)</f>
        <v>0</v>
      </c>
      <c r="J331" s="3" t="s">
        <v>61</v>
      </c>
      <c r="K331" s="3"/>
      <c r="L331" s="3"/>
      <c r="M331" s="3"/>
      <c r="N331" s="3" t="str">
        <f t="shared" si="29"/>
        <v>Not provided</v>
      </c>
      <c r="O331" s="3"/>
      <c r="P331" s="3" t="s">
        <v>43</v>
      </c>
      <c r="Q331">
        <f>IF('14 Detailed Results'!O34="","",'14 Detailed Results'!O34)</f>
        <v>0</v>
      </c>
      <c r="R331">
        <f>IF('14 Detailed Results'!P34="","",'14 Detailed Results'!P34)</f>
        <v>0</v>
      </c>
      <c r="S331">
        <f>IF('14 Detailed Results'!Q34="","",'14 Detailed Results'!Q34)</f>
        <v>0</v>
      </c>
      <c r="T331" t="str">
        <f>IF('14 Detailed Results'!R34="","",'14 Detailed Results'!R34)</f>
        <v>Not applicable</v>
      </c>
      <c r="U331" t="str">
        <f>IF('14 Detailed Results'!S34="","",'14 Detailed Results'!S34)</f>
        <v/>
      </c>
    </row>
    <row r="332" spans="1:21">
      <c r="A332" s="3">
        <f>'02 Hospice Setup'!$B$5</f>
        <v>0</v>
      </c>
      <c r="B332" s="3" t="str">
        <f>'02 Hospice Setup'!$H$5</f>
        <v>Version 5.1</v>
      </c>
      <c r="C332" s="3" t="str">
        <f>'02 Hospice Setup'!$E$6</f>
        <v>Actual</v>
      </c>
      <c r="D332" s="18">
        <f>'02 Hospice Setup'!$H$7</f>
        <v>0</v>
      </c>
      <c r="E332" s="3" t="s">
        <v>676</v>
      </c>
      <c r="F332" s="3" t="s">
        <v>309</v>
      </c>
      <c r="G332" s="3" t="s">
        <v>310</v>
      </c>
      <c r="H332" s="3" t="s">
        <v>564</v>
      </c>
      <c r="I332" s="19">
        <f>SUMIF('14 Detailed Results'!$A$5:$A$35,F332,'14 Detailed Results'!$K$5:$K$35)</f>
        <v>0</v>
      </c>
      <c r="J332" s="3" t="s">
        <v>706</v>
      </c>
      <c r="K332" s="3"/>
      <c r="L332" s="3"/>
      <c r="M332" s="3"/>
      <c r="N332" s="3" t="str">
        <f t="shared" si="29"/>
        <v>Not provided</v>
      </c>
      <c r="O332" s="3"/>
      <c r="P332" s="3" t="s">
        <v>43</v>
      </c>
      <c r="Q332">
        <f>IF('14 Detailed Results'!O34="","",'14 Detailed Results'!O34)</f>
        <v>0</v>
      </c>
      <c r="R332">
        <f>IF('14 Detailed Results'!P34="","",'14 Detailed Results'!P34)</f>
        <v>0</v>
      </c>
      <c r="S332">
        <f>IF('14 Detailed Results'!Q34="","",'14 Detailed Results'!Q34)</f>
        <v>0</v>
      </c>
      <c r="T332" t="str">
        <f>IF('14 Detailed Results'!R34="","",'14 Detailed Results'!R34)</f>
        <v>Not applicable</v>
      </c>
      <c r="U332" t="str">
        <f>IF('14 Detailed Results'!S34="","",'14 Detailed Results'!S34)</f>
        <v/>
      </c>
    </row>
    <row r="333" spans="1:21">
      <c r="A333" s="3">
        <f>'02 Hospice Setup'!$B$5</f>
        <v>0</v>
      </c>
      <c r="B333" s="3" t="str">
        <f>'02 Hospice Setup'!$H$5</f>
        <v>Version 5.1</v>
      </c>
      <c r="C333" s="3" t="str">
        <f>'02 Hospice Setup'!$E$6</f>
        <v>Actual</v>
      </c>
      <c r="D333" s="18">
        <f>'02 Hospice Setup'!$H$7</f>
        <v>0</v>
      </c>
      <c r="E333" s="3" t="s">
        <v>676</v>
      </c>
      <c r="F333" s="3" t="s">
        <v>309</v>
      </c>
      <c r="G333" s="3" t="s">
        <v>310</v>
      </c>
      <c r="H333" s="3" t="s">
        <v>708</v>
      </c>
      <c r="I333" s="19">
        <f>SUMIF('14 Detailed Results'!$A$5:$A$35,F333,'14 Detailed Results'!$L$5:$L$35)</f>
        <v>0</v>
      </c>
      <c r="J333" s="3" t="s">
        <v>427</v>
      </c>
      <c r="K333" s="3"/>
      <c r="L333" s="3"/>
      <c r="M333" s="3"/>
      <c r="N333" s="3" t="str">
        <f>IF(SUMIF('14 Detailed Results'!$A$5:$A$35,F333,'14 Detailed Results'!$F$5:$F$35)=0,"Not provided",IF(I333=0,"Not available","Complete"))</f>
        <v>Not provided</v>
      </c>
      <c r="O333" s="3" t="s">
        <v>709</v>
      </c>
      <c r="P333" s="3" t="s">
        <v>43</v>
      </c>
      <c r="Q333">
        <f>IF('14 Detailed Results'!O34="","",'14 Detailed Results'!O34)</f>
        <v>0</v>
      </c>
      <c r="R333">
        <f>IF('14 Detailed Results'!P34="","",'14 Detailed Results'!P34)</f>
        <v>0</v>
      </c>
      <c r="S333">
        <f>IF('14 Detailed Results'!Q34="","",'14 Detailed Results'!Q34)</f>
        <v>0</v>
      </c>
      <c r="T333" t="str">
        <f>IF('14 Detailed Results'!R34="","",'14 Detailed Results'!R34)</f>
        <v>Not applicable</v>
      </c>
      <c r="U333" t="str">
        <f>IF('14 Detailed Results'!S34="","",'14 Detailed Results'!S34)</f>
        <v/>
      </c>
    </row>
    <row r="334" spans="1:21">
      <c r="A334" s="3">
        <f>'02 Hospice Setup'!$B$5</f>
        <v>0</v>
      </c>
      <c r="B334" s="3" t="str">
        <f>'02 Hospice Setup'!$H$5</f>
        <v>Version 5.1</v>
      </c>
      <c r="C334" s="3" t="str">
        <f>'02 Hospice Setup'!$E$6</f>
        <v>Actual</v>
      </c>
      <c r="D334" s="18">
        <f>'02 Hospice Setup'!$H$7</f>
        <v>0</v>
      </c>
      <c r="E334" s="3" t="s">
        <v>676</v>
      </c>
      <c r="F334" s="3" t="s">
        <v>309</v>
      </c>
      <c r="G334" s="3" t="s">
        <v>310</v>
      </c>
      <c r="H334" s="3" t="s">
        <v>710</v>
      </c>
      <c r="I334" s="19">
        <f>SUMIF('14 Detailed Results'!$A$5:$A$35,F334,'14 Detailed Results'!$M$5:$M$35)</f>
        <v>0</v>
      </c>
      <c r="J334" s="3" t="s">
        <v>61</v>
      </c>
      <c r="K334" s="3"/>
      <c r="L334" s="3"/>
      <c r="M334" s="3"/>
      <c r="N334" s="3" t="str">
        <f>IF(SUMIF('14 Detailed Results'!$A$5:$A$35,F334,'14 Detailed Results'!$F$5:$F$35)=0,"Not provided",IF(I334=0,"Not available","Complete"))</f>
        <v>Not provided</v>
      </c>
      <c r="O334" s="3"/>
      <c r="P334" s="3" t="s">
        <v>43</v>
      </c>
      <c r="Q334">
        <f>IF('14 Detailed Results'!O34="","",'14 Detailed Results'!O34)</f>
        <v>0</v>
      </c>
      <c r="R334">
        <f>IF('14 Detailed Results'!P34="","",'14 Detailed Results'!P34)</f>
        <v>0</v>
      </c>
      <c r="S334">
        <f>IF('14 Detailed Results'!Q34="","",'14 Detailed Results'!Q34)</f>
        <v>0</v>
      </c>
      <c r="T334" t="str">
        <f>IF('14 Detailed Results'!R34="","",'14 Detailed Results'!R34)</f>
        <v>Not applicable</v>
      </c>
      <c r="U334" t="str">
        <f>IF('14 Detailed Results'!S34="","",'14 Detailed Results'!S34)</f>
        <v/>
      </c>
    </row>
    <row r="335" spans="1:21" ht="16">
      <c r="A335" s="22">
        <f>'02 Hospice Setup'!$B$5</f>
        <v>0</v>
      </c>
      <c r="B335" s="22" t="str">
        <f>'02 Hospice Setup'!$H$5</f>
        <v>Version 5.1</v>
      </c>
      <c r="C335" s="22" t="str">
        <f>'02 Hospice Setup'!$E$6</f>
        <v>Actual</v>
      </c>
      <c r="D335" s="22">
        <f>'02 Hospice Setup'!$H$7</f>
        <v>0</v>
      </c>
      <c r="E335" s="22" t="s">
        <v>114</v>
      </c>
      <c r="F335" s="22" t="s">
        <v>122</v>
      </c>
      <c r="G335" s="22" t="s">
        <v>124</v>
      </c>
      <c r="H335" s="22" t="s">
        <v>559</v>
      </c>
      <c r="I335" s="22">
        <f>SUMIF('14 Detailed Results'!$A$5:$A$35,F335,'14 Detailed Results'!$C$5:$C$35)</f>
        <v>0</v>
      </c>
      <c r="J335" s="22" t="s">
        <v>61</v>
      </c>
      <c r="K335" s="22"/>
      <c r="L335" s="22"/>
      <c r="M335" s="22"/>
      <c r="N335" s="22" t="str">
        <f t="shared" ref="N335:N343" si="30">IF(I335=0,"Not provided","Complete")</f>
        <v>Not provided</v>
      </c>
      <c r="O335" s="22"/>
      <c r="P335" s="22" t="s">
        <v>43</v>
      </c>
      <c r="Q335">
        <f>IF('14 Detailed Results'!O35="","",'14 Detailed Results'!O35)</f>
        <v>0</v>
      </c>
      <c r="R335">
        <f>IF('14 Detailed Results'!P35="","",'14 Detailed Results'!P35)</f>
        <v>0</v>
      </c>
      <c r="S335">
        <f>IF('14 Detailed Results'!Q35="","",'14 Detailed Results'!Q35)</f>
        <v>0</v>
      </c>
      <c r="T335" t="str">
        <f>IF('14 Detailed Results'!R35="","",'14 Detailed Results'!R35)</f>
        <v>Service user</v>
      </c>
      <c r="U335" t="str">
        <f>IF('14 Detailed Results'!S35="","",'14 Detailed Results'!S35)</f>
        <v/>
      </c>
    </row>
    <row r="336" spans="1:21" ht="16">
      <c r="A336" s="22">
        <f>'02 Hospice Setup'!$B$5</f>
        <v>0</v>
      </c>
      <c r="B336" s="22" t="str">
        <f>'02 Hospice Setup'!$H$5</f>
        <v>Version 5.1</v>
      </c>
      <c r="C336" s="22" t="str">
        <f>'02 Hospice Setup'!$E$6</f>
        <v>Actual</v>
      </c>
      <c r="D336" s="22">
        <f>'02 Hospice Setup'!$H$7</f>
        <v>0</v>
      </c>
      <c r="E336" s="22" t="s">
        <v>114</v>
      </c>
      <c r="F336" s="22" t="s">
        <v>122</v>
      </c>
      <c r="G336" s="22" t="s">
        <v>124</v>
      </c>
      <c r="H336" s="22" t="s">
        <v>560</v>
      </c>
      <c r="I336" s="22">
        <f>SUMIF('14 Detailed Results'!$A$5:$A$35,F336,'14 Detailed Results'!$D$5:$D$35)</f>
        <v>0</v>
      </c>
      <c r="J336" s="22" t="s">
        <v>61</v>
      </c>
      <c r="K336" s="22"/>
      <c r="L336" s="22"/>
      <c r="M336" s="22"/>
      <c r="N336" s="22" t="str">
        <f t="shared" si="30"/>
        <v>Not provided</v>
      </c>
      <c r="O336" s="22"/>
      <c r="P336" s="22" t="s">
        <v>43</v>
      </c>
      <c r="Q336">
        <f>IF('14 Detailed Results'!O35="","",'14 Detailed Results'!O35)</f>
        <v>0</v>
      </c>
      <c r="R336">
        <f>IF('14 Detailed Results'!P35="","",'14 Detailed Results'!P35)</f>
        <v>0</v>
      </c>
      <c r="S336">
        <f>IF('14 Detailed Results'!Q35="","",'14 Detailed Results'!Q35)</f>
        <v>0</v>
      </c>
      <c r="T336" t="str">
        <f>IF('14 Detailed Results'!R35="","",'14 Detailed Results'!R35)</f>
        <v>Service user</v>
      </c>
      <c r="U336" t="str">
        <f>IF('14 Detailed Results'!S35="","",'14 Detailed Results'!S35)</f>
        <v/>
      </c>
    </row>
    <row r="337" spans="1:21" ht="16">
      <c r="A337" s="22">
        <f>'02 Hospice Setup'!$B$5</f>
        <v>0</v>
      </c>
      <c r="B337" s="22" t="str">
        <f>'02 Hospice Setup'!$H$5</f>
        <v>Version 5.1</v>
      </c>
      <c r="C337" s="22" t="str">
        <f>'02 Hospice Setup'!$E$6</f>
        <v>Actual</v>
      </c>
      <c r="D337" s="22">
        <f>'02 Hospice Setup'!$H$7</f>
        <v>0</v>
      </c>
      <c r="E337" s="22" t="s">
        <v>114</v>
      </c>
      <c r="F337" s="22" t="s">
        <v>122</v>
      </c>
      <c r="G337" s="22" t="s">
        <v>124</v>
      </c>
      <c r="H337" s="22" t="s">
        <v>570</v>
      </c>
      <c r="I337" s="22">
        <f>SUMIF('14 Detailed Results'!$A$5:$A$35,F337,'14 Detailed Results'!$E$5:$E$35)</f>
        <v>0</v>
      </c>
      <c r="J337" s="22" t="s">
        <v>61</v>
      </c>
      <c r="K337" s="22"/>
      <c r="L337" s="22"/>
      <c r="M337" s="22"/>
      <c r="N337" s="22" t="str">
        <f t="shared" si="30"/>
        <v>Not provided</v>
      </c>
      <c r="O337" s="22"/>
      <c r="P337" s="22" t="s">
        <v>43</v>
      </c>
      <c r="Q337">
        <f>IF('14 Detailed Results'!O35="","",'14 Detailed Results'!O35)</f>
        <v>0</v>
      </c>
      <c r="R337">
        <f>IF('14 Detailed Results'!P35="","",'14 Detailed Results'!P35)</f>
        <v>0</v>
      </c>
      <c r="S337">
        <f>IF('14 Detailed Results'!Q35="","",'14 Detailed Results'!Q35)</f>
        <v>0</v>
      </c>
      <c r="T337" t="str">
        <f>IF('14 Detailed Results'!R35="","",'14 Detailed Results'!R35)</f>
        <v>Service user</v>
      </c>
      <c r="U337" t="str">
        <f>IF('14 Detailed Results'!S35="","",'14 Detailed Results'!S35)</f>
        <v/>
      </c>
    </row>
    <row r="338" spans="1:21" ht="16">
      <c r="A338" s="22">
        <f>'02 Hospice Setup'!$B$5</f>
        <v>0</v>
      </c>
      <c r="B338" s="22" t="str">
        <f>'02 Hospice Setup'!$H$5</f>
        <v>Version 5.1</v>
      </c>
      <c r="C338" s="22" t="str">
        <f>'02 Hospice Setup'!$E$6</f>
        <v>Actual</v>
      </c>
      <c r="D338" s="22">
        <f>'02 Hospice Setup'!$H$7</f>
        <v>0</v>
      </c>
      <c r="E338" s="22" t="s">
        <v>114</v>
      </c>
      <c r="F338" s="22" t="s">
        <v>122</v>
      </c>
      <c r="G338" s="22" t="s">
        <v>124</v>
      </c>
      <c r="H338" s="22" t="s">
        <v>561</v>
      </c>
      <c r="I338" s="22">
        <f>SUMIF('14 Detailed Results'!$A$5:$A$35,F338,'14 Detailed Results'!$F$5:$F$35)</f>
        <v>0</v>
      </c>
      <c r="J338" s="22" t="s">
        <v>61</v>
      </c>
      <c r="K338" s="22"/>
      <c r="L338" s="22"/>
      <c r="M338" s="22"/>
      <c r="N338" s="22" t="str">
        <f t="shared" si="30"/>
        <v>Not provided</v>
      </c>
      <c r="O338" s="22"/>
      <c r="P338" s="22" t="s">
        <v>43</v>
      </c>
      <c r="Q338">
        <f>IF('14 Detailed Results'!O35="","",'14 Detailed Results'!O35)</f>
        <v>0</v>
      </c>
      <c r="R338">
        <f>IF('14 Detailed Results'!P35="","",'14 Detailed Results'!P35)</f>
        <v>0</v>
      </c>
      <c r="S338">
        <f>IF('14 Detailed Results'!Q35="","",'14 Detailed Results'!Q35)</f>
        <v>0</v>
      </c>
      <c r="T338" t="str">
        <f>IF('14 Detailed Results'!R35="","",'14 Detailed Results'!R35)</f>
        <v>Service user</v>
      </c>
      <c r="U338" t="str">
        <f>IF('14 Detailed Results'!S35="","",'14 Detailed Results'!S35)</f>
        <v/>
      </c>
    </row>
    <row r="339" spans="1:21" ht="16">
      <c r="A339" s="22">
        <f>'02 Hospice Setup'!$B$5</f>
        <v>0</v>
      </c>
      <c r="B339" s="22" t="str">
        <f>'02 Hospice Setup'!$H$5</f>
        <v>Version 5.1</v>
      </c>
      <c r="C339" s="22" t="str">
        <f>'02 Hospice Setup'!$E$6</f>
        <v>Actual</v>
      </c>
      <c r="D339" s="22">
        <f>'02 Hospice Setup'!$H$7</f>
        <v>0</v>
      </c>
      <c r="E339" s="22" t="s">
        <v>114</v>
      </c>
      <c r="F339" s="22" t="s">
        <v>122</v>
      </c>
      <c r="G339" s="22" t="s">
        <v>124</v>
      </c>
      <c r="H339" s="22" t="s">
        <v>382</v>
      </c>
      <c r="I339" s="22">
        <f>SUMIF('14 Detailed Results'!$A$5:$A$35,F339,'14 Detailed Results'!$G$5:$G$35)</f>
        <v>0</v>
      </c>
      <c r="J339" s="22" t="s">
        <v>398</v>
      </c>
      <c r="K339" s="22"/>
      <c r="L339" s="22"/>
      <c r="M339" s="22"/>
      <c r="N339" s="22" t="str">
        <f t="shared" si="30"/>
        <v>Not provided</v>
      </c>
      <c r="O339" s="22"/>
      <c r="P339" s="22" t="s">
        <v>43</v>
      </c>
      <c r="Q339">
        <f>IF('14 Detailed Results'!O35="","",'14 Detailed Results'!O35)</f>
        <v>0</v>
      </c>
      <c r="R339">
        <f>IF('14 Detailed Results'!P35="","",'14 Detailed Results'!P35)</f>
        <v>0</v>
      </c>
      <c r="S339">
        <f>IF('14 Detailed Results'!Q35="","",'14 Detailed Results'!Q35)</f>
        <v>0</v>
      </c>
      <c r="T339" t="str">
        <f>IF('14 Detailed Results'!R35="","",'14 Detailed Results'!R35)</f>
        <v>Service user</v>
      </c>
      <c r="U339" t="str">
        <f>IF('14 Detailed Results'!S35="","",'14 Detailed Results'!S35)</f>
        <v/>
      </c>
    </row>
    <row r="340" spans="1:21" ht="16">
      <c r="A340" s="22">
        <f>'02 Hospice Setup'!$B$5</f>
        <v>0</v>
      </c>
      <c r="B340" s="22" t="str">
        <f>'02 Hospice Setup'!$H$5</f>
        <v>Version 5.1</v>
      </c>
      <c r="C340" s="22" t="str">
        <f>'02 Hospice Setup'!$E$6</f>
        <v>Actual</v>
      </c>
      <c r="D340" s="22">
        <f>'02 Hospice Setup'!$H$7</f>
        <v>0</v>
      </c>
      <c r="E340" s="22" t="s">
        <v>114</v>
      </c>
      <c r="F340" s="22" t="s">
        <v>122</v>
      </c>
      <c r="G340" s="22" t="s">
        <v>124</v>
      </c>
      <c r="H340" s="22" t="s">
        <v>386</v>
      </c>
      <c r="I340" s="22">
        <f>SUMIF('14 Detailed Results'!$A$5:$A$35,F340,'14 Detailed Results'!$H$5:$H$35)</f>
        <v>0</v>
      </c>
      <c r="J340" s="22" t="s">
        <v>398</v>
      </c>
      <c r="K340" s="22"/>
      <c r="L340" s="22"/>
      <c r="M340" s="22"/>
      <c r="N340" s="22" t="str">
        <f t="shared" si="30"/>
        <v>Not provided</v>
      </c>
      <c r="O340" s="22"/>
      <c r="P340" s="22" t="s">
        <v>43</v>
      </c>
      <c r="Q340">
        <f>IF('14 Detailed Results'!O35="","",'14 Detailed Results'!O35)</f>
        <v>0</v>
      </c>
      <c r="R340">
        <f>IF('14 Detailed Results'!P35="","",'14 Detailed Results'!P35)</f>
        <v>0</v>
      </c>
      <c r="S340">
        <f>IF('14 Detailed Results'!Q35="","",'14 Detailed Results'!Q35)</f>
        <v>0</v>
      </c>
      <c r="T340" t="str">
        <f>IF('14 Detailed Results'!R35="","",'14 Detailed Results'!R35)</f>
        <v>Service user</v>
      </c>
      <c r="U340" t="str">
        <f>IF('14 Detailed Results'!S35="","",'14 Detailed Results'!S35)</f>
        <v/>
      </c>
    </row>
    <row r="341" spans="1:21" ht="16">
      <c r="A341" s="22">
        <f>'02 Hospice Setup'!$B$5</f>
        <v>0</v>
      </c>
      <c r="B341" s="22" t="str">
        <f>'02 Hospice Setup'!$H$5</f>
        <v>Version 5.1</v>
      </c>
      <c r="C341" s="22" t="str">
        <f>'02 Hospice Setup'!$E$6</f>
        <v>Actual</v>
      </c>
      <c r="D341" s="22">
        <f>'02 Hospice Setup'!$H$7</f>
        <v>0</v>
      </c>
      <c r="E341" s="22" t="s">
        <v>114</v>
      </c>
      <c r="F341" s="22" t="s">
        <v>122</v>
      </c>
      <c r="G341" s="22" t="s">
        <v>124</v>
      </c>
      <c r="H341" s="22" t="s">
        <v>704</v>
      </c>
      <c r="I341" s="22">
        <f>SUMIF('14 Detailed Results'!$A$5:$A$35,F341,'14 Detailed Results'!$I$5:$I$35)</f>
        <v>0</v>
      </c>
      <c r="J341" s="22" t="s">
        <v>61</v>
      </c>
      <c r="K341" s="22"/>
      <c r="L341" s="22"/>
      <c r="M341" s="22"/>
      <c r="N341" s="22" t="str">
        <f t="shared" si="30"/>
        <v>Not provided</v>
      </c>
      <c r="O341" s="22"/>
      <c r="P341" s="22" t="s">
        <v>43</v>
      </c>
      <c r="Q341">
        <f>IF('14 Detailed Results'!O35="","",'14 Detailed Results'!O35)</f>
        <v>0</v>
      </c>
      <c r="R341">
        <f>IF('14 Detailed Results'!P35="","",'14 Detailed Results'!P35)</f>
        <v>0</v>
      </c>
      <c r="S341">
        <f>IF('14 Detailed Results'!Q35="","",'14 Detailed Results'!Q35)</f>
        <v>0</v>
      </c>
      <c r="T341" t="str">
        <f>IF('14 Detailed Results'!R35="","",'14 Detailed Results'!R35)</f>
        <v>Service user</v>
      </c>
      <c r="U341" t="str">
        <f>IF('14 Detailed Results'!S35="","",'14 Detailed Results'!S35)</f>
        <v/>
      </c>
    </row>
    <row r="342" spans="1:21" ht="16">
      <c r="A342" s="22">
        <f>'02 Hospice Setup'!$B$5</f>
        <v>0</v>
      </c>
      <c r="B342" s="22" t="str">
        <f>'02 Hospice Setup'!$H$5</f>
        <v>Version 5.1</v>
      </c>
      <c r="C342" s="22" t="str">
        <f>'02 Hospice Setup'!$E$6</f>
        <v>Actual</v>
      </c>
      <c r="D342" s="22">
        <f>'02 Hospice Setup'!$H$7</f>
        <v>0</v>
      </c>
      <c r="E342" s="22" t="s">
        <v>114</v>
      </c>
      <c r="F342" s="22" t="s">
        <v>122</v>
      </c>
      <c r="G342" s="22" t="s">
        <v>124</v>
      </c>
      <c r="H342" s="22" t="s">
        <v>705</v>
      </c>
      <c r="I342" s="22">
        <f>SUMIF('14 Detailed Results'!$A$5:$A$35,F342,'14 Detailed Results'!$J$5:$J$35)</f>
        <v>0</v>
      </c>
      <c r="J342" s="22" t="s">
        <v>61</v>
      </c>
      <c r="K342" s="22"/>
      <c r="L342" s="22"/>
      <c r="M342" s="22"/>
      <c r="N342" s="22" t="str">
        <f t="shared" si="30"/>
        <v>Not provided</v>
      </c>
      <c r="O342" s="22"/>
      <c r="P342" s="22" t="s">
        <v>43</v>
      </c>
      <c r="Q342">
        <f>IF('14 Detailed Results'!O35="","",'14 Detailed Results'!O35)</f>
        <v>0</v>
      </c>
      <c r="R342">
        <f>IF('14 Detailed Results'!P35="","",'14 Detailed Results'!P35)</f>
        <v>0</v>
      </c>
      <c r="S342">
        <f>IF('14 Detailed Results'!Q35="","",'14 Detailed Results'!Q35)</f>
        <v>0</v>
      </c>
      <c r="T342" t="str">
        <f>IF('14 Detailed Results'!R35="","",'14 Detailed Results'!R35)</f>
        <v>Service user</v>
      </c>
      <c r="U342" t="str">
        <f>IF('14 Detailed Results'!S35="","",'14 Detailed Results'!S35)</f>
        <v/>
      </c>
    </row>
    <row r="343" spans="1:21" ht="16">
      <c r="A343" s="22">
        <f>'02 Hospice Setup'!$B$5</f>
        <v>0</v>
      </c>
      <c r="B343" s="22" t="str">
        <f>'02 Hospice Setup'!$H$5</f>
        <v>Version 5.1</v>
      </c>
      <c r="C343" s="22" t="str">
        <f>'02 Hospice Setup'!$E$6</f>
        <v>Actual</v>
      </c>
      <c r="D343" s="22">
        <f>'02 Hospice Setup'!$H$7</f>
        <v>0</v>
      </c>
      <c r="E343" s="22" t="s">
        <v>114</v>
      </c>
      <c r="F343" s="22" t="s">
        <v>122</v>
      </c>
      <c r="G343" s="22" t="s">
        <v>124</v>
      </c>
      <c r="H343" s="22" t="s">
        <v>564</v>
      </c>
      <c r="I343" s="22">
        <f>SUMIF('14 Detailed Results'!$A$5:$A$35,F343,'14 Detailed Results'!$K$5:$K$35)</f>
        <v>0</v>
      </c>
      <c r="J343" s="22" t="s">
        <v>706</v>
      </c>
      <c r="K343" s="22"/>
      <c r="L343" s="22"/>
      <c r="M343" s="22"/>
      <c r="N343" s="22" t="str">
        <f t="shared" si="30"/>
        <v>Not provided</v>
      </c>
      <c r="O343" s="22"/>
      <c r="P343" s="22" t="s">
        <v>43</v>
      </c>
      <c r="Q343">
        <f>IF('14 Detailed Results'!O35="","",'14 Detailed Results'!O35)</f>
        <v>0</v>
      </c>
      <c r="R343">
        <f>IF('14 Detailed Results'!P35="","",'14 Detailed Results'!P35)</f>
        <v>0</v>
      </c>
      <c r="S343">
        <f>IF('14 Detailed Results'!Q35="","",'14 Detailed Results'!Q35)</f>
        <v>0</v>
      </c>
      <c r="T343" t="str">
        <f>IF('14 Detailed Results'!R35="","",'14 Detailed Results'!R35)</f>
        <v>Service user</v>
      </c>
      <c r="U343" t="str">
        <f>IF('14 Detailed Results'!S35="","",'14 Detailed Results'!S35)</f>
        <v/>
      </c>
    </row>
    <row r="344" spans="1:21" ht="48">
      <c r="A344" s="22">
        <f>'02 Hospice Setup'!$B$5</f>
        <v>0</v>
      </c>
      <c r="B344" s="22" t="str">
        <f>'02 Hospice Setup'!$H$5</f>
        <v>Version 5.1</v>
      </c>
      <c r="C344" s="22" t="str">
        <f>'02 Hospice Setup'!$E$6</f>
        <v>Actual</v>
      </c>
      <c r="D344" s="22">
        <f>'02 Hospice Setup'!$H$7</f>
        <v>0</v>
      </c>
      <c r="E344" s="22" t="s">
        <v>114</v>
      </c>
      <c r="F344" s="22" t="s">
        <v>122</v>
      </c>
      <c r="G344" s="22" t="s">
        <v>124</v>
      </c>
      <c r="H344" s="22" t="s">
        <v>708</v>
      </c>
      <c r="I344" s="22">
        <f>SUMIF('14 Detailed Results'!$A$5:$A$35,F344,'14 Detailed Results'!$L$5:$L$35)</f>
        <v>0</v>
      </c>
      <c r="J344" s="22" t="s">
        <v>427</v>
      </c>
      <c r="K344" s="22"/>
      <c r="L344" s="22"/>
      <c r="M344" s="22"/>
      <c r="N344" s="22" t="str">
        <f>IF(SUMIF('14 Detailed Results'!$A$5:$A$35,F344,'14 Detailed Results'!$F$5:$F$35)=0,"Not provided",IF(I344=0,"Not available","Complete"))</f>
        <v>Not provided</v>
      </c>
      <c r="O344" s="22" t="s">
        <v>709</v>
      </c>
      <c r="P344" s="22" t="s">
        <v>43</v>
      </c>
      <c r="Q344">
        <f>IF('14 Detailed Results'!O35="","",'14 Detailed Results'!O35)</f>
        <v>0</v>
      </c>
      <c r="R344">
        <f>IF('14 Detailed Results'!P35="","",'14 Detailed Results'!P35)</f>
        <v>0</v>
      </c>
      <c r="S344">
        <f>IF('14 Detailed Results'!Q35="","",'14 Detailed Results'!Q35)</f>
        <v>0</v>
      </c>
      <c r="T344" t="str">
        <f>IF('14 Detailed Results'!R35="","",'14 Detailed Results'!R35)</f>
        <v>Service user</v>
      </c>
      <c r="U344" t="str">
        <f>IF('14 Detailed Results'!S35="","",'14 Detailed Results'!S35)</f>
        <v/>
      </c>
    </row>
    <row r="345" spans="1:21" ht="32">
      <c r="A345" s="22">
        <f>'02 Hospice Setup'!$B$5</f>
        <v>0</v>
      </c>
      <c r="B345" s="22" t="str">
        <f>'02 Hospice Setup'!$H$5</f>
        <v>Version 5.1</v>
      </c>
      <c r="C345" s="22" t="str">
        <f>'02 Hospice Setup'!$E$6</f>
        <v>Actual</v>
      </c>
      <c r="D345" s="22">
        <f>'02 Hospice Setup'!$H$7</f>
        <v>0</v>
      </c>
      <c r="E345" s="22" t="s">
        <v>114</v>
      </c>
      <c r="F345" s="22" t="s">
        <v>122</v>
      </c>
      <c r="G345" s="22" t="s">
        <v>124</v>
      </c>
      <c r="H345" s="22" t="s">
        <v>710</v>
      </c>
      <c r="I345" s="22">
        <f>SUMIF('14 Detailed Results'!$A$5:$A$35,F345,'14 Detailed Results'!$M$5:$M$35)</f>
        <v>0</v>
      </c>
      <c r="J345" s="22" t="s">
        <v>61</v>
      </c>
      <c r="K345" s="22"/>
      <c r="L345" s="22"/>
      <c r="M345" s="22"/>
      <c r="N345" s="22" t="str">
        <f>IF(SUMIF('14 Detailed Results'!$A$5:$A$35,F345,'14 Detailed Results'!$F$5:$F$35)=0,"Not provided",IF(I345=0,"Not available","Complete"))</f>
        <v>Not provided</v>
      </c>
      <c r="O345" s="22"/>
      <c r="P345" s="22" t="s">
        <v>43</v>
      </c>
      <c r="Q345">
        <f>IF('14 Detailed Results'!O35="","",'14 Detailed Results'!O35)</f>
        <v>0</v>
      </c>
      <c r="R345">
        <f>IF('14 Detailed Results'!P35="","",'14 Detailed Results'!P35)</f>
        <v>0</v>
      </c>
      <c r="S345">
        <f>IF('14 Detailed Results'!Q35="","",'14 Detailed Results'!Q35)</f>
        <v>0</v>
      </c>
      <c r="T345" t="str">
        <f>IF('14 Detailed Results'!R35="","",'14 Detailed Results'!R35)</f>
        <v>Service user</v>
      </c>
      <c r="U345" t="str">
        <f>IF('14 Detailed Results'!S35="","",'14 Detailed Results'!S35)</f>
        <v/>
      </c>
    </row>
  </sheetData>
  <sheetProtection sheet="1" objects="1" scenarios="1" formatColumns="0" formatRows="0"/>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01 Start Here</vt:lpstr>
      <vt:lpstr>02 Hospice Setup</vt:lpstr>
      <vt:lpstr>03 Catering Adjustment</vt:lpstr>
      <vt:lpstr>04 Service Costs</vt:lpstr>
      <vt:lpstr>05 Support &amp; Income</vt:lpstr>
      <vt:lpstr>06 Shared Cost Pools</vt:lpstr>
      <vt:lpstr>07 Support Drivers</vt:lpstr>
      <vt:lpstr>08 Allocation Data</vt:lpstr>
      <vt:lpstr>09 Core Activity &amp; Capacity</vt:lpstr>
      <vt:lpstr>10 Optional IPU Care Type</vt:lpstr>
      <vt:lpstr>11 Optional Community</vt:lpstr>
      <vt:lpstr>12 Checks &amp; Completion</vt:lpstr>
      <vt:lpstr>13 Results Dashboard</vt:lpstr>
      <vt:lpstr>14 Detailed Results</vt:lpstr>
      <vt:lpstr>15 Enhanced Analysis</vt:lpstr>
      <vt:lpstr>16 Calculations</vt:lpstr>
      <vt:lpstr>17 Code Lists</vt:lpstr>
      <vt:lpstr>18 Standard 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Craig Duncan</cp:lastModifiedBy>
  <dcterms:created xsi:type="dcterms:W3CDTF">2026-09-24T10:08:10Z</dcterms:created>
  <dcterms:modified xsi:type="dcterms:W3CDTF">2026-09-24T10:08:10Z</dcterms:modified>
</cp:coreProperties>
</file>